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55" windowHeight="8700" activeTab="0"/>
  </bookViews>
  <sheets>
    <sheet name="LPG" sheetId="1" r:id="rId1"/>
    <sheet name="Petrol" sheetId="2" r:id="rId2"/>
    <sheet name="Servicing" sheetId="3" r:id="rId3"/>
  </sheets>
  <definedNames/>
  <calcPr fullCalcOnLoad="1"/>
</workbook>
</file>

<file path=xl/comments1.xml><?xml version="1.0" encoding="utf-8"?>
<comments xmlns="http://schemas.openxmlformats.org/spreadsheetml/2006/main">
  <authors>
    <author>Andrew Wilde</author>
  </authors>
  <commentList>
    <comment ref="H12" authorId="0">
      <text>
        <r>
          <rPr>
            <b/>
            <sz val="9"/>
            <rFont val="Tahoma"/>
            <family val="2"/>
          </rPr>
          <t>Andrew Wilde:</t>
        </r>
        <r>
          <rPr>
            <sz val="9"/>
            <rFont val="Tahoma"/>
            <family val="2"/>
          </rPr>
          <t xml:space="preserve">
Estimated.</t>
        </r>
      </text>
    </comment>
  </commentList>
</comments>
</file>

<file path=xl/sharedStrings.xml><?xml version="1.0" encoding="utf-8"?>
<sst xmlns="http://schemas.openxmlformats.org/spreadsheetml/2006/main" count="250" uniqueCount="158">
  <si>
    <t>Miles</t>
  </si>
  <si>
    <t>Litres</t>
  </si>
  <si>
    <t>Type of driving</t>
  </si>
  <si>
    <t>MPG</t>
  </si>
  <si>
    <t>Date</t>
  </si>
  <si>
    <t>What done</t>
  </si>
  <si>
    <t>Mls/tank</t>
  </si>
  <si>
    <t>Bisley &amp; back</t>
  </si>
  <si>
    <t>Delivered to work &amp; drive home</t>
  </si>
  <si>
    <t>170xxx</t>
  </si>
  <si>
    <t>Initial service at Swallows Jaguar. See work sheet</t>
  </si>
  <si>
    <t>Comp. Avg.</t>
  </si>
  <si>
    <t>Mainly urban commute.</t>
  </si>
  <si>
    <t>Delivery - estimated mileage</t>
  </si>
  <si>
    <t>Bisley &amp; back - the un-subtle way...</t>
  </si>
  <si>
    <t>Bisley &amp; back - driving for economy (incl a little drifting on bigger hills)</t>
  </si>
  <si>
    <t>Not convinced that it refilled completely!</t>
  </si>
  <si>
    <t>Bisley &amp; back, some urban, normal driving</t>
  </si>
  <si>
    <t>Bisley &amp; Back, Scotland trip, driving normally</t>
  </si>
  <si>
    <t>Scotland trip, driving normally</t>
  </si>
  <si>
    <t>Scotland trip, driving carefully</t>
  </si>
  <si>
    <t>Bristol &amp; Bisley</t>
  </si>
  <si>
    <t>Commute only</t>
  </si>
  <si>
    <t>???</t>
  </si>
  <si>
    <t>General everything.</t>
  </si>
  <si>
    <t>Wheels replaced, radiator vacuum bled, boot bolt tightened</t>
  </si>
  <si>
    <t>price £0.859/L?</t>
  </si>
  <si>
    <t>Bisley &amp; couple of work commutes</t>
  </si>
  <si>
    <t>Dartmoor &amp; Bisley</t>
  </si>
  <si>
    <t>Mostly Bisley</t>
  </si>
  <si>
    <t>Mostly round town &amp; snow...</t>
  </si>
  <si>
    <t>MMU &amp; back</t>
  </si>
  <si>
    <t>See 2009-03-03 Servicing sheet. Steering rack, spare wheel, light glass replaced, heater flushed &amp; fixed, phone kit removed, lighter socket fixed, alarm reprogrammed, general check-over</t>
  </si>
  <si>
    <t>Bisley &amp; Back</t>
  </si>
  <si>
    <t>Mainly Bisley</t>
  </si>
  <si>
    <t>Varied</t>
  </si>
  <si>
    <t>Bisley</t>
  </si>
  <si>
    <t>Mainly commuting</t>
  </si>
  <si>
    <t>Mainly rush hour commutes</t>
  </si>
  <si>
    <t>average speed on tank &lt;17mph!</t>
  </si>
  <si>
    <t>Distance runs</t>
  </si>
  <si>
    <t>MoT &amp; Clean. No problems.</t>
  </si>
  <si>
    <t>Mileage not recorded but tripmeter used - assumes no other fills...</t>
  </si>
  <si>
    <t>Bisley &amp; London</t>
  </si>
  <si>
    <t>London &amp; Bodmin</t>
  </si>
  <si>
    <t>Bodmin &amp; Bristol</t>
  </si>
  <si>
    <t>Miles @
3 lights</t>
  </si>
  <si>
    <t>Miles @
2 lights</t>
  </si>
  <si>
    <t>Miles @
1 light</t>
  </si>
  <si>
    <t>Bisley &amp; back.</t>
  </si>
  <si>
    <t>Miles @
flashing</t>
  </si>
  <si>
    <t>Post LPG thoughts: Slightly lumpy running, esp on partial throttle (switching between light engine braking &amp; light acceleration whilst going up a hill, or when cold, etc...) Might be exhaust related so want to get that sorted first... Better with petrol - when system switches back it feels smoother.</t>
  </si>
  <si>
    <t>This now needs to get clever to exclude the LPG...</t>
  </si>
  <si>
    <t>Where</t>
  </si>
  <si>
    <t>Part-way to Bisley</t>
  </si>
  <si>
    <t>Fitting - full tank supplied.</t>
  </si>
  <si>
    <t>Price
(p/L)</t>
  </si>
  <si>
    <t>Odometer
@ Fill</t>
  </si>
  <si>
    <t>Motorway</t>
  </si>
  <si>
    <t>M6 J14-15 (North of Birmingham)</t>
  </si>
  <si>
    <t>Perth</t>
  </si>
  <si>
    <t>A Roads</t>
  </si>
  <si>
    <t>2 new tyres: new ones moved to front. Pirelli P Zero (assymetric) 235/50ZR17 @ £125 ea.</t>
  </si>
  <si>
    <t>2 new tyres: on rear. Pirelli P Zero (assymetric) 235/50ZR17 @ £313.49 for  pair.</t>
  </si>
  <si>
    <t>Fort William</t>
  </si>
  <si>
    <t>LPG fitting (incl 70 litre toroidal tank in spare wheel space). Filler cap preferred on other side from existing filler, fuel switch on vertical trim down-and-left of steering whel, and oil bottle somewhere in the engine bay (avoiding exhaust for temperature and changing reasons). Crack in exhaust manifold declared - new stainless exhaust needs to be fitted (crack in weld repair plugged with exhaust putty, but it's not a long-term solution...)</t>
  </si>
  <si>
    <t>TBC</t>
  </si>
  <si>
    <t>Quite a bit of town driving. New exhaust.</t>
  </si>
  <si>
    <t>XX/11/2010</t>
  </si>
  <si>
    <t>Incomplete information...</t>
  </si>
  <si>
    <t>New exhaust &amp; manifold - stainless and better breathing (sports) pipework from Winspeed Motorsport. Using same mid section cat, new forwards and back from this. With exhaust linking pipe, and new clamps and bushes.</t>
  </si>
  <si>
    <t>Miles @ Fill</t>
  </si>
  <si>
    <t>Miles on Petrol</t>
  </si>
  <si>
    <t>Miles on LPG</t>
  </si>
  <si>
    <t>Litres LPG</t>
  </si>
  <si>
    <t>MPG    calc LPG</t>
  </si>
  <si>
    <t>A431 Bristol (Countrywide Key)</t>
  </si>
  <si>
    <t>Single track roads, Mull &amp; Scotland (22.3 mph average). Not complete fill?</t>
  </si>
  <si>
    <t>19,1</t>
  </si>
  <si>
    <t>Oil &amp; Filter, check coolant, compression check, replace plugs, sort LPG skid plate.</t>
  </si>
  <si>
    <t>A38 Dundry (Countrywide Key)</t>
  </si>
  <si>
    <t>Mainly Bisley &amp; back.</t>
  </si>
  <si>
    <t>Miles @
switchover</t>
  </si>
  <si>
    <t>A36 Limpley Stoke (Bath)</t>
  </si>
  <si>
    <t>A36 Winterbourne Stoke (Stonehenge)</t>
  </si>
  <si>
    <t>A36 Codford (Countrywide Key)</t>
  </si>
  <si>
    <t>M74 J13 (Abbingdon, Scotland)</t>
  </si>
  <si>
    <t>A36 Andover</t>
  </si>
  <si>
    <t>Mainly Bisley &amp; back</t>
  </si>
  <si>
    <t>A38 Axbridge</t>
  </si>
  <si>
    <t>A316 Sunbury</t>
  </si>
  <si>
    <t>Comp
Avg.</t>
  </si>
  <si>
    <t>M3 Fleet Services</t>
  </si>
  <si>
    <t>Not a complete fill.</t>
  </si>
  <si>
    <t>Not Sure</t>
  </si>
  <si>
    <t>Includes overwinter starting, and fuel line repair</t>
  </si>
  <si>
    <t>Includes winter storage...</t>
  </si>
  <si>
    <t>Post-jaunt trip round the folks.</t>
  </si>
  <si>
    <t>69-9</t>
  </si>
  <si>
    <t>Richmond to Didcot &amp; back.</t>
  </si>
  <si>
    <t>Battery &amp; Alternator replaced, steering UJ's lubricated (intermittant stiffness)</t>
  </si>
  <si>
    <t>M4 Reading</t>
  </si>
  <si>
    <t>Trip meter reset when alternator replaced - miles not correct!</t>
  </si>
  <si>
    <t>A34 Newbury</t>
  </si>
  <si>
    <t>Supercharger &amp; power steering belts replaced, along with replacement crank speed sensor (belts took this with them!). Pulleys also replaced as partially seized.</t>
  </si>
  <si>
    <t>Finchamstead Road, Wokingham</t>
  </si>
  <si>
    <t>Faster runs</t>
  </si>
  <si>
    <t>Average speed runs</t>
  </si>
  <si>
    <t>Slower runs</t>
  </si>
  <si>
    <t>Legal speeds</t>
  </si>
  <si>
    <t>Basildon</t>
  </si>
  <si>
    <t>Tyres now 30psi (were 22psi)</t>
  </si>
  <si>
    <t>Didcot Calor</t>
  </si>
  <si>
    <t>Hungerford</t>
  </si>
  <si>
    <t>Replaced light bulbs (AutoBulbsDirect.co.uk) with H1 Xenon Extreme White (EW) bulbs. Key fob batteries replaced, reprogrammed to car, and also replaced light unit (NS dipped).</t>
  </si>
  <si>
    <t>3 Mile Cross</t>
  </si>
  <si>
    <t>Charged battery</t>
  </si>
  <si>
    <t>MoT Fail: Brake pedal anti-slip pad missing, registration lamp not working, o/s rear brake pipe corroded, n/s rear inner arch corroded near to seat belt anchor point, exhaust emmissions at fast idle failed: 1.9% CO, 0.94 lambda, 336ppm HC.</t>
  </si>
  <si>
    <t>Removal of air filter marginally improved CO, better on acceleration / deceleration but back up to high when idling or fast idle. Still failed test though.</t>
  </si>
  <si>
    <t>Compression &amp; spark plug check: Cyl 1 (forward) - 9.8 bar &amp; rich. Cyl 2 - 8.9 bar &amp; OK. Cyl 3 - 9.0 bar &amp; OK. Cyl 4 - 9.4 bar &amp; OK (slightly rich). Cyl 5 - 9.0 bar &amp; OK. Cyl 6 (rear) - 9.8 bar &amp; rich. Unable to check spark &amp; timing as no HT leads (coil on each spark plug). No evidence of sparks / arcing when looked at tops of coils with engine running in the dark. Swapped lamda sensor positions - ran rougher (if anything) and quite a bit of condensation from exhausts. Swapped back (not so bad again, but still a bit of misfire). Topped up coolant with 0.6L to get into right range (was 0.4L below min).</t>
  </si>
  <si>
    <t>TVS (07710 576575) round to read the codes: P0116 (temperature coolant sensor) which was reset and didn't come back, and P1158 (replace lambda sensors). Lambda sensors reading: Bank 1: 1.165V, moving around slightly, with -15 to -24 on short term memory. Bank 2: 0.015V steady, 23.4 static. Disconnected one sensor (port connector for rear sensor) and voltages both went to 0V, and short term was the same on either side (but responding). Couldn't get to connector to disconnect starboard connector (front sensor) but when reconnected port one seemed to run better (less misfires). Took to get tested with exhaust gas analyser, CO over 4%, smoke, fail fail fail. Booked in to get lambda sensors replaced.</t>
  </si>
  <si>
    <t>Replace brake pedal rubber, replace offside rear brake pipe, replace front-to-rear brake pipe(s), fix boot cables / connector (number plate light and boot open button) followed by MoT. (Wingfield Engineering 0118 978 1519)</t>
  </si>
  <si>
    <t>Petrol only. One days commute and one hard-driving trip to Burghfield. Not convinced full as good mileage...</t>
  </si>
  <si>
    <t>Air filter changed, lambda sensors changed (British Parts, 01483 354810, £56 ea), emissions now 0.0%CO-15ppmHC-1.03L PASS.</t>
  </si>
  <si>
    <t>Welding for MoT. Michael Potts, RG10 9RD, 0118 9320 267 / 07729 198 435.</t>
  </si>
  <si>
    <t>Petrol only. One days commute. Starting to run rough at ~2000rpm but fine at lower or higher revs.</t>
  </si>
  <si>
    <t>Longmoor Farm, Finchampstead</t>
  </si>
  <si>
    <t>Commute</t>
  </si>
  <si>
    <t>London &amp; commute</t>
  </si>
  <si>
    <t>Wokingham</t>
  </si>
  <si>
    <t>MoT, fuel pipe replaced (fuel filter to engine), brake pipe (rear NS?) replaced, alternator belt replaced.</t>
  </si>
  <si>
    <t>Refill after head gasket change. Not completely full.</t>
  </si>
  <si>
    <t>Comments</t>
  </si>
  <si>
    <t>Back from Somerset</t>
  </si>
  <si>
    <t>Work commute</t>
  </si>
  <si>
    <t>Unconvinced</t>
  </si>
  <si>
    <t>Jaguar mileage - combined 6000 miles pa...</t>
  </si>
  <si>
    <t>Cobra mileage - combined 6000 miles pa...</t>
  </si>
  <si>
    <t>Bisley &amp; work commute</t>
  </si>
  <si>
    <t>Mileage Limit - 6000 miles.</t>
  </si>
  <si>
    <t>Check over LPG system post head gasket work (RapidTune, Bath)</t>
  </si>
  <si>
    <t>Car recovered to Swallows for head gasket replacement. 1 head bolt thread damaged, 3 more not in good condition, all 4 helicoiled (middle right hand side). Head bolts replaced. Inlet &amp; exhaust gaskets replaced. Water pump replaced (new). Drive belts replaced (alternator &amp; water pump). Coil packs for cylinders 1, 3 &amp; 4 replaced (were cracked and arcing, used replacements). Spark plugs replaced with BCPR6ES plugs. Compression test: 100/100/85/105/95/115psi (1-6). Gearbox oil topped up. Exhaust centre section welded up. Front anti-roll bushes replaced (knocking &amp; cornering issue fixed). Rear anti-roll bar pin and bushes replaced. Boot switch replaced. Oil &amp; filter changed.</t>
  </si>
  <si>
    <t>Welding (Michael Potts, Charvil, 0118 9320 267 or 07729 198435)</t>
  </si>
  <si>
    <t>General work (Wingfield Engineering, RG41 5EJ, 0118 978 1519)</t>
  </si>
  <si>
    <t>Jaguar specialist (Winspeed, GU3 3BJ, 01483 537706 Peter Hugo / Chris Window)</t>
  </si>
  <si>
    <t>Welding repairs made (Michael Potts). 3 off wheel arches replaced (all except NSF), sills patched as required, box sections patched each side near where joins to front subframes, generally patched &amp; repaired &amp; protected as required.</t>
  </si>
  <si>
    <t>£/ml</t>
  </si>
  <si>
    <t>Equivalent mpg:</t>
  </si>
  <si>
    <t>LPG Lube topped up and reset to 1 drip / 5 secs (was faster). Oiled clutch pedal to stop squeeking (fixed end of spring). Boot base trim supports modified / improved (rear leaft corner done to test glue, rest to follow if OK). Oiled sunroof. Repaired mounting and replaced internal rear view mirror. Bonnet stone chips worked back, jenolited, painted (trial on 3 chips, rest to follow if OK). Pre-MoT check looks good, grumbly noises from engine sound more like clutch springs (not to worry about) than tappets / timing chain.</t>
  </si>
  <si>
    <t>Servicing, MoT, runarounds, mileage at switch not recorded so guessed.</t>
  </si>
  <si>
    <t>Guessed fill volume</t>
  </si>
  <si>
    <t>Miles at fill calculated</t>
  </si>
  <si>
    <t>Needs MoT before sale.</t>
  </si>
  <si>
    <t>Missing some data so will be higher.</t>
  </si>
  <si>
    <t>Replace headlight glass, oil &amp; filter change, anti-freeze checked &amp; topped up, oil pressure switch &amp; harness replaced.</t>
  </si>
  <si>
    <t>LPG 1000 mile free service. Re-mapped (was slightly rich), upped the pressure (had cut out a couple of times on hard acceleration) and increased switch-over temperature (slightly lumpy initially, once switched over, mainly when very cold weather). Boot trim and skid plate improved, and book stamped (not possible to get LPG fuel gauge to beep when changes level).</t>
  </si>
  <si>
    <t>Coolant system refilled after very cold night. Head gasket leaking (middle right hand side - external leak, nothing going to cylinders, oil is clear, coolant (whilst dropping in level) is not oily, no steam from exhaust).</t>
  </si>
  <si>
    <t>Check of emissions: CO &lt;0.2, HC 60-100 (dropping as left at 3000rpm), L=1.02. Pass MoT. Started relatively high (burbling) but just about legal - nothing like when lambda sensors had gone. On fast idle, over 30-60 seconds (as per MoT test), died down to good pass levels.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</si>
</sst>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 numFmtId="165" formatCode="0.0_ ;\-0.0\ "/>
    <numFmt numFmtId="166" formatCode="0.0"/>
    <numFmt numFmtId="167" formatCode="[$-809]dd\ mmmm\ yyyy"/>
    <numFmt numFmtId="168" formatCode="dd/mm/yyyy;@"/>
    <numFmt numFmtId="169" formatCode="0.00000"/>
    <numFmt numFmtId="170" formatCode="0.0000"/>
    <numFmt numFmtId="171" formatCode="0.000"/>
    <numFmt numFmtId="172" formatCode="0_ ;\-0\ "/>
  </numFmts>
  <fonts count="42">
    <font>
      <sz val="10"/>
      <name val="Arial"/>
      <family val="0"/>
    </font>
    <font>
      <u val="single"/>
      <sz val="10"/>
      <color indexed="12"/>
      <name val="Arial"/>
      <family val="2"/>
    </font>
    <font>
      <u val="single"/>
      <sz val="10"/>
      <color indexed="36"/>
      <name val="Arial"/>
      <family val="2"/>
    </font>
    <font>
      <b/>
      <sz val="10"/>
      <name val="Arial"/>
      <family val="2"/>
    </font>
    <font>
      <sz val="9"/>
      <name val="Tahoma"/>
      <family val="2"/>
    </font>
    <font>
      <b/>
      <sz val="9"/>
      <name val="Tahoma"/>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2">
    <xf numFmtId="0" fontId="0" fillId="0" borderId="0" xfId="0" applyAlignment="1">
      <alignment/>
    </xf>
    <xf numFmtId="165" fontId="0" fillId="0" borderId="0" xfId="42" applyNumberFormat="1" applyFont="1" applyAlignment="1">
      <alignment horizontal="center"/>
    </xf>
    <xf numFmtId="2" fontId="0" fillId="0" borderId="0" xfId="0" applyNumberFormat="1" applyAlignment="1">
      <alignment horizontal="center"/>
    </xf>
    <xf numFmtId="14" fontId="0" fillId="0" borderId="0" xfId="0" applyNumberFormat="1" applyAlignment="1">
      <alignment horizontal="center"/>
    </xf>
    <xf numFmtId="14" fontId="3" fillId="0" borderId="0" xfId="0" applyNumberFormat="1"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14" fontId="0" fillId="0" borderId="0" xfId="0" applyNumberFormat="1" applyAlignment="1">
      <alignment horizontal="left" vertical="top"/>
    </xf>
    <xf numFmtId="0" fontId="0" fillId="0" borderId="0" xfId="0" applyAlignment="1">
      <alignment vertical="top" wrapText="1"/>
    </xf>
    <xf numFmtId="0" fontId="0" fillId="0" borderId="0" xfId="0" applyAlignment="1">
      <alignment vertical="top"/>
    </xf>
    <xf numFmtId="1" fontId="3" fillId="0" borderId="0" xfId="0" applyNumberFormat="1" applyFont="1" applyAlignment="1">
      <alignment horizontal="center" vertical="top"/>
    </xf>
    <xf numFmtId="1" fontId="0" fillId="0" borderId="0" xfId="0" applyNumberFormat="1" applyAlignment="1">
      <alignment horizontal="center" vertical="top"/>
    </xf>
    <xf numFmtId="2" fontId="0" fillId="0" borderId="0" xfId="0" applyNumberFormat="1" applyAlignment="1">
      <alignment/>
    </xf>
    <xf numFmtId="14" fontId="0" fillId="0" borderId="0" xfId="0" applyNumberFormat="1" applyAlignment="1">
      <alignment horizontal="center" vertical="top"/>
    </xf>
    <xf numFmtId="165" fontId="0" fillId="0" borderId="0" xfId="42" applyNumberFormat="1" applyFont="1" applyAlignment="1">
      <alignment horizontal="center" vertical="top" wrapText="1"/>
    </xf>
    <xf numFmtId="0" fontId="3" fillId="0" borderId="0" xfId="0" applyFont="1" applyAlignment="1">
      <alignment/>
    </xf>
    <xf numFmtId="166" fontId="0" fillId="0" borderId="0" xfId="0" applyNumberFormat="1" applyAlignment="1">
      <alignment horizontal="center" vertical="top" wrapText="1"/>
    </xf>
    <xf numFmtId="166" fontId="0" fillId="0" borderId="0" xfId="0" applyNumberFormat="1" applyAlignment="1">
      <alignment horizontal="center"/>
    </xf>
    <xf numFmtId="0" fontId="0" fillId="0" borderId="0" xfId="0" applyFont="1" applyAlignment="1">
      <alignment vertical="top" wrapText="1"/>
    </xf>
    <xf numFmtId="0" fontId="0" fillId="0" borderId="0" xfId="0" applyFont="1" applyAlignment="1">
      <alignment/>
    </xf>
    <xf numFmtId="44" fontId="0" fillId="0" borderId="0" xfId="44" applyFont="1" applyAlignment="1">
      <alignment horizontal="center" vertical="top" wrapText="1"/>
    </xf>
    <xf numFmtId="44" fontId="0" fillId="0" borderId="0" xfId="44" applyFont="1" applyAlignment="1">
      <alignment horizontal="center"/>
    </xf>
    <xf numFmtId="166" fontId="0" fillId="0" borderId="0" xfId="0" applyNumberFormat="1" applyAlignment="1">
      <alignment/>
    </xf>
    <xf numFmtId="165" fontId="6" fillId="0" borderId="0" xfId="42" applyNumberFormat="1" applyFont="1" applyAlignment="1">
      <alignment horizontal="center"/>
    </xf>
    <xf numFmtId="2" fontId="6" fillId="0" borderId="0" xfId="0" applyNumberFormat="1" applyFont="1" applyAlignment="1">
      <alignment horizontal="center"/>
    </xf>
    <xf numFmtId="14" fontId="0" fillId="0" borderId="0" xfId="0" applyNumberFormat="1" applyFill="1" applyAlignment="1">
      <alignment horizontal="center"/>
    </xf>
    <xf numFmtId="0" fontId="0" fillId="0" borderId="0" xfId="0" applyFont="1" applyFill="1" applyAlignment="1">
      <alignment/>
    </xf>
    <xf numFmtId="166" fontId="0" fillId="0" borderId="0" xfId="0" applyNumberFormat="1" applyFill="1" applyAlignment="1">
      <alignment horizontal="center"/>
    </xf>
    <xf numFmtId="165" fontId="0" fillId="0" borderId="0" xfId="42" applyNumberFormat="1" applyFont="1" applyFill="1" applyAlignment="1">
      <alignment horizontal="center"/>
    </xf>
    <xf numFmtId="2" fontId="0" fillId="0" borderId="0" xfId="0" applyNumberFormat="1" applyFill="1" applyAlignment="1">
      <alignment horizontal="center"/>
    </xf>
    <xf numFmtId="44" fontId="0" fillId="0" borderId="0" xfId="44" applyFont="1" applyFill="1" applyAlignment="1">
      <alignment horizontal="center"/>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71"/>
  <sheetViews>
    <sheetView tabSelected="1" zoomScalePageLayoutView="0" workbookViewId="0" topLeftCell="A1">
      <pane ySplit="1" topLeftCell="A56" activePane="bottomLeft" state="frozen"/>
      <selection pane="topLeft" activeCell="A1" sqref="A1"/>
      <selection pane="bottomLeft" activeCell="A71" sqref="A71"/>
    </sheetView>
  </sheetViews>
  <sheetFormatPr defaultColWidth="9.140625" defaultRowHeight="12.75"/>
  <cols>
    <col min="1" max="1" width="10.140625" style="3" bestFit="1" customWidth="1"/>
    <col min="2" max="2" width="6.28125" style="0" customWidth="1"/>
    <col min="3" max="3" width="5.7109375" style="17" customWidth="1"/>
    <col min="4" max="4" width="9.28125" style="1" customWidth="1"/>
    <col min="5" max="5" width="7.140625" style="2" bestFit="1" customWidth="1"/>
    <col min="6" max="6" width="5.8515625" style="17" bestFit="1" customWidth="1"/>
    <col min="7" max="7" width="9.28125" style="1" customWidth="1"/>
    <col min="8" max="8" width="9.57421875" style="1" bestFit="1" customWidth="1"/>
    <col min="9" max="12" width="9.28125" style="1" hidden="1" customWidth="1"/>
    <col min="13" max="14" width="9.28125" style="1" customWidth="1"/>
    <col min="15" max="15" width="9.140625" style="2" customWidth="1"/>
    <col min="16" max="16" width="9.140625" style="21" customWidth="1"/>
    <col min="17" max="17" width="14.421875" style="0" customWidth="1"/>
  </cols>
  <sheetData>
    <row r="1" spans="1:20" s="9" customFormat="1" ht="51">
      <c r="A1" s="13" t="s">
        <v>4</v>
      </c>
      <c r="B1" s="9" t="s">
        <v>53</v>
      </c>
      <c r="C1" s="16" t="s">
        <v>56</v>
      </c>
      <c r="D1" s="14" t="s">
        <v>57</v>
      </c>
      <c r="E1" s="14" t="s">
        <v>74</v>
      </c>
      <c r="F1" s="16" t="s">
        <v>91</v>
      </c>
      <c r="G1" s="14" t="s">
        <v>71</v>
      </c>
      <c r="H1" s="14" t="s">
        <v>82</v>
      </c>
      <c r="I1" s="14" t="s">
        <v>50</v>
      </c>
      <c r="J1" s="14" t="s">
        <v>48</v>
      </c>
      <c r="K1" s="14" t="s">
        <v>47</v>
      </c>
      <c r="L1" s="14" t="s">
        <v>46</v>
      </c>
      <c r="M1" s="14" t="s">
        <v>73</v>
      </c>
      <c r="N1" s="14" t="s">
        <v>72</v>
      </c>
      <c r="O1" s="14" t="s">
        <v>75</v>
      </c>
      <c r="P1" s="20" t="s">
        <v>146</v>
      </c>
      <c r="Q1" s="9" t="s">
        <v>2</v>
      </c>
      <c r="S1" s="9">
        <v>0.695</v>
      </c>
      <c r="T1" s="9">
        <v>1.45</v>
      </c>
    </row>
    <row r="2" spans="1:17" ht="12.75">
      <c r="A2" s="3">
        <v>40434</v>
      </c>
      <c r="D2" s="1">
        <f>185354+12</f>
        <v>185366</v>
      </c>
      <c r="Q2" t="s">
        <v>55</v>
      </c>
    </row>
    <row r="3" spans="1:17" ht="12.75">
      <c r="A3" s="3">
        <v>40439</v>
      </c>
      <c r="B3" t="s">
        <v>84</v>
      </c>
      <c r="D3" s="1">
        <v>185460</v>
      </c>
      <c r="E3" s="2">
        <v>24.06</v>
      </c>
      <c r="F3" s="17">
        <v>18.2</v>
      </c>
      <c r="G3" s="1">
        <v>109.3</v>
      </c>
      <c r="J3" s="1">
        <v>109</v>
      </c>
      <c r="M3" s="1">
        <f aca="true" t="shared" si="0" ref="M3:M36">IF(H3="",G3,H3)</f>
        <v>109.3</v>
      </c>
      <c r="N3" s="1">
        <f aca="true" t="shared" si="1" ref="N3:N36">IF(H3="",0,G3-M3)</f>
        <v>0</v>
      </c>
      <c r="O3" s="2">
        <f>IF(Q2="Not a complete fill.","N/A",M3/E3/0.22)</f>
        <v>20.649134738910302</v>
      </c>
      <c r="P3" s="21">
        <f>S$1*4.5/O3</f>
        <v>0.1514591308325709</v>
      </c>
      <c r="Q3" t="s">
        <v>54</v>
      </c>
    </row>
    <row r="4" spans="1:17" ht="12.75">
      <c r="A4" s="3">
        <v>40452</v>
      </c>
      <c r="B4" t="s">
        <v>83</v>
      </c>
      <c r="C4" s="17">
        <v>63.9</v>
      </c>
      <c r="D4" s="1">
        <v>185686</v>
      </c>
      <c r="E4" s="2">
        <v>61.27</v>
      </c>
      <c r="G4" s="1">
        <v>226.7</v>
      </c>
      <c r="H4" s="1">
        <v>205</v>
      </c>
      <c r="I4" s="1">
        <v>145</v>
      </c>
      <c r="J4" s="1">
        <v>100</v>
      </c>
      <c r="K4" s="1">
        <v>58</v>
      </c>
      <c r="L4" s="1">
        <v>37</v>
      </c>
      <c r="M4" s="1">
        <f t="shared" si="0"/>
        <v>205</v>
      </c>
      <c r="N4" s="1">
        <f t="shared" si="1"/>
        <v>21.69999999999999</v>
      </c>
      <c r="O4" s="2">
        <f aca="true" t="shared" si="2" ref="O4:O36">IF(Q3="Not a complete fill.","N/A",M4/E4/0.22)</f>
        <v>15.208392064928706</v>
      </c>
      <c r="P4" s="21">
        <f aca="true" t="shared" si="3" ref="P4:P67">S$1*4.5/O4</f>
        <v>0.20564304146341464</v>
      </c>
      <c r="Q4" t="s">
        <v>49</v>
      </c>
    </row>
    <row r="5" spans="1:16" ht="12.75">
      <c r="A5" s="3">
        <v>40455</v>
      </c>
      <c r="B5" t="s">
        <v>87</v>
      </c>
      <c r="C5" s="17">
        <v>66.9</v>
      </c>
      <c r="D5" s="1">
        <v>185882</v>
      </c>
      <c r="E5" s="2">
        <v>49.7</v>
      </c>
      <c r="G5" s="1">
        <v>195.3</v>
      </c>
      <c r="I5" s="1">
        <v>168.7</v>
      </c>
      <c r="J5" s="1">
        <v>97.2</v>
      </c>
      <c r="K5" s="1">
        <v>73.3</v>
      </c>
      <c r="L5" s="1">
        <v>29.2</v>
      </c>
      <c r="M5" s="1">
        <f t="shared" si="0"/>
        <v>195.3</v>
      </c>
      <c r="N5" s="1">
        <f t="shared" si="1"/>
        <v>0</v>
      </c>
      <c r="O5" s="2">
        <f t="shared" si="2"/>
        <v>17.861715749039693</v>
      </c>
      <c r="P5" s="21">
        <f t="shared" si="3"/>
        <v>0.17509516129032257</v>
      </c>
    </row>
    <row r="6" spans="1:17" ht="12.75">
      <c r="A6" s="3">
        <v>40459</v>
      </c>
      <c r="B6" t="s">
        <v>90</v>
      </c>
      <c r="C6" s="17">
        <v>68.9</v>
      </c>
      <c r="D6" s="1">
        <v>186056</v>
      </c>
      <c r="E6" s="2">
        <v>45.98</v>
      </c>
      <c r="F6" s="17">
        <v>22.1</v>
      </c>
      <c r="G6" s="1">
        <v>174.5</v>
      </c>
      <c r="I6" s="1">
        <v>171</v>
      </c>
      <c r="J6" s="1">
        <v>105</v>
      </c>
      <c r="K6" s="1">
        <v>59.5</v>
      </c>
      <c r="L6" s="1">
        <v>22.8</v>
      </c>
      <c r="M6" s="1">
        <f t="shared" si="0"/>
        <v>174.5</v>
      </c>
      <c r="N6" s="1">
        <f t="shared" si="1"/>
        <v>0</v>
      </c>
      <c r="O6" s="2">
        <f t="shared" si="2"/>
        <v>17.250583257542807</v>
      </c>
      <c r="P6" s="21">
        <f t="shared" si="3"/>
        <v>0.18129821776504296</v>
      </c>
      <c r="Q6" t="s">
        <v>58</v>
      </c>
    </row>
    <row r="7" spans="1:17" ht="12.75">
      <c r="A7" s="3">
        <v>40459</v>
      </c>
      <c r="B7" t="s">
        <v>59</v>
      </c>
      <c r="C7" s="17">
        <v>68.9</v>
      </c>
      <c r="D7" s="1">
        <v>186214</v>
      </c>
      <c r="E7" s="2">
        <v>36.6</v>
      </c>
      <c r="F7" s="17">
        <v>25.9</v>
      </c>
      <c r="G7" s="1">
        <v>157.8</v>
      </c>
      <c r="J7" s="1">
        <v>125.2</v>
      </c>
      <c r="K7" s="1">
        <v>69.2</v>
      </c>
      <c r="L7" s="1">
        <v>31.8</v>
      </c>
      <c r="M7" s="1">
        <f t="shared" si="0"/>
        <v>157.8</v>
      </c>
      <c r="N7" s="1">
        <f t="shared" si="1"/>
        <v>0</v>
      </c>
      <c r="O7" s="2">
        <f t="shared" si="2"/>
        <v>19.597615499254847</v>
      </c>
      <c r="P7" s="21">
        <f t="shared" si="3"/>
        <v>0.1595857414448669</v>
      </c>
      <c r="Q7" t="s">
        <v>58</v>
      </c>
    </row>
    <row r="8" spans="1:17" ht="12.75">
      <c r="A8" s="3">
        <v>40460</v>
      </c>
      <c r="B8" t="s">
        <v>86</v>
      </c>
      <c r="C8" s="17">
        <v>70.9</v>
      </c>
      <c r="D8" s="1">
        <v>186433</v>
      </c>
      <c r="E8" s="2">
        <v>52.15</v>
      </c>
      <c r="F8" s="17">
        <v>25</v>
      </c>
      <c r="G8" s="1">
        <v>218.5</v>
      </c>
      <c r="I8" s="1">
        <v>168.2</v>
      </c>
      <c r="J8" s="1">
        <v>123.3</v>
      </c>
      <c r="K8" s="1">
        <v>67.3</v>
      </c>
      <c r="L8" s="1">
        <v>35.3</v>
      </c>
      <c r="M8" s="1">
        <f t="shared" si="0"/>
        <v>218.5</v>
      </c>
      <c r="N8" s="1">
        <f t="shared" si="1"/>
        <v>0</v>
      </c>
      <c r="O8" s="2">
        <f t="shared" si="2"/>
        <v>19.04471367558616</v>
      </c>
      <c r="P8" s="21">
        <f t="shared" si="3"/>
        <v>0.16421879862700228</v>
      </c>
      <c r="Q8" t="s">
        <v>58</v>
      </c>
    </row>
    <row r="9" spans="1:17" ht="12.75">
      <c r="A9" s="3">
        <v>40460</v>
      </c>
      <c r="B9" t="s">
        <v>60</v>
      </c>
      <c r="C9" s="17">
        <v>68.9</v>
      </c>
      <c r="D9" s="1">
        <v>186521</v>
      </c>
      <c r="E9" s="2">
        <v>20.56</v>
      </c>
      <c r="F9" s="17">
        <v>23.9</v>
      </c>
      <c r="G9" s="1">
        <v>88.5</v>
      </c>
      <c r="K9" s="1">
        <v>68.4</v>
      </c>
      <c r="L9" s="1">
        <v>24.1</v>
      </c>
      <c r="M9" s="1">
        <f t="shared" si="0"/>
        <v>88.5</v>
      </c>
      <c r="N9" s="1">
        <f t="shared" si="1"/>
        <v>0</v>
      </c>
      <c r="O9" s="2">
        <f t="shared" si="2"/>
        <v>19.56579412805094</v>
      </c>
      <c r="P9" s="21">
        <f t="shared" si="3"/>
        <v>0.1598452881355932</v>
      </c>
      <c r="Q9" t="s">
        <v>61</v>
      </c>
    </row>
    <row r="10" spans="1:16" ht="12.75">
      <c r="A10" s="3">
        <v>40466</v>
      </c>
      <c r="B10" t="s">
        <v>64</v>
      </c>
      <c r="C10" s="17">
        <v>68.9</v>
      </c>
      <c r="D10" s="1">
        <v>186716</v>
      </c>
      <c r="E10" s="2">
        <v>51.95</v>
      </c>
      <c r="F10" s="17">
        <v>22.6</v>
      </c>
      <c r="G10" s="1">
        <v>194.4</v>
      </c>
      <c r="L10" s="1">
        <v>17.6</v>
      </c>
      <c r="M10" s="1">
        <f t="shared" si="0"/>
        <v>194.4</v>
      </c>
      <c r="N10" s="1">
        <f t="shared" si="1"/>
        <v>0</v>
      </c>
      <c r="O10" s="2">
        <f t="shared" si="2"/>
        <v>17.009362148919415</v>
      </c>
      <c r="P10" s="21">
        <f t="shared" si="3"/>
        <v>0.1838693287037037</v>
      </c>
    </row>
    <row r="11" spans="1:17" ht="12.75">
      <c r="A11" s="3">
        <v>40474</v>
      </c>
      <c r="B11" t="s">
        <v>76</v>
      </c>
      <c r="C11" s="17">
        <v>71.9</v>
      </c>
      <c r="D11" s="1">
        <v>186944</v>
      </c>
      <c r="E11" s="2">
        <v>57.56</v>
      </c>
      <c r="F11" s="17">
        <v>19.2</v>
      </c>
      <c r="G11" s="1">
        <v>228.1</v>
      </c>
      <c r="H11" s="1">
        <v>210.2</v>
      </c>
      <c r="I11" s="1">
        <v>183.9</v>
      </c>
      <c r="M11" s="1">
        <f t="shared" si="0"/>
        <v>210.2</v>
      </c>
      <c r="N11" s="1">
        <f t="shared" si="1"/>
        <v>17.900000000000006</v>
      </c>
      <c r="O11" s="2">
        <f t="shared" si="2"/>
        <v>16.599279802893424</v>
      </c>
      <c r="P11" s="21">
        <f t="shared" si="3"/>
        <v>0.1884117887725975</v>
      </c>
      <c r="Q11" t="s">
        <v>77</v>
      </c>
    </row>
    <row r="12" spans="1:17" ht="12.75">
      <c r="A12" s="3">
        <v>40489</v>
      </c>
      <c r="B12" t="s">
        <v>90</v>
      </c>
      <c r="C12" s="17">
        <v>68.9</v>
      </c>
      <c r="D12" s="1">
        <v>187168</v>
      </c>
      <c r="E12" s="2">
        <v>48.64</v>
      </c>
      <c r="F12" s="17">
        <v>20</v>
      </c>
      <c r="G12" s="1">
        <v>224.1</v>
      </c>
      <c r="H12" s="1">
        <v>210</v>
      </c>
      <c r="M12" s="1">
        <f t="shared" si="0"/>
        <v>210</v>
      </c>
      <c r="N12" s="1">
        <f t="shared" si="1"/>
        <v>14.099999999999994</v>
      </c>
      <c r="O12" s="2">
        <f t="shared" si="2"/>
        <v>19.6247009569378</v>
      </c>
      <c r="P12" s="21">
        <f t="shared" si="3"/>
        <v>0.1593654857142857</v>
      </c>
      <c r="Q12" t="s">
        <v>88</v>
      </c>
    </row>
    <row r="13" spans="1:17" ht="12.75">
      <c r="A13" s="3">
        <v>40493</v>
      </c>
      <c r="B13" t="s">
        <v>94</v>
      </c>
      <c r="D13" s="1">
        <v>187273</v>
      </c>
      <c r="E13" s="24">
        <v>35</v>
      </c>
      <c r="G13" s="1">
        <v>125.6</v>
      </c>
      <c r="H13" s="1">
        <v>105</v>
      </c>
      <c r="M13" s="1">
        <f t="shared" si="0"/>
        <v>105</v>
      </c>
      <c r="N13" s="1">
        <f t="shared" si="1"/>
        <v>20.599999999999994</v>
      </c>
      <c r="O13" s="2">
        <f t="shared" si="2"/>
        <v>13.636363636363637</v>
      </c>
      <c r="P13" s="21">
        <f t="shared" si="3"/>
        <v>0.22935</v>
      </c>
      <c r="Q13" s="19" t="s">
        <v>150</v>
      </c>
    </row>
    <row r="14" spans="1:17" ht="12.75">
      <c r="A14" s="3" t="s">
        <v>68</v>
      </c>
      <c r="B14" t="s">
        <v>83</v>
      </c>
      <c r="C14" s="17">
        <v>65.9</v>
      </c>
      <c r="D14" s="1">
        <v>187392</v>
      </c>
      <c r="E14" s="2">
        <f>28/0.659</f>
        <v>42.4886191198786</v>
      </c>
      <c r="F14" s="17" t="s">
        <v>23</v>
      </c>
      <c r="G14" s="23">
        <f>D14-D13</f>
        <v>119</v>
      </c>
      <c r="L14" s="1">
        <v>6.4</v>
      </c>
      <c r="M14" s="1">
        <f t="shared" si="0"/>
        <v>119</v>
      </c>
      <c r="N14" s="1">
        <f t="shared" si="1"/>
        <v>0</v>
      </c>
      <c r="O14" s="2">
        <f t="shared" si="2"/>
        <v>12.73068181818182</v>
      </c>
      <c r="P14" s="21">
        <f t="shared" si="3"/>
        <v>0.2456663393733821</v>
      </c>
      <c r="Q14" s="19" t="s">
        <v>151</v>
      </c>
    </row>
    <row r="15" spans="1:17" ht="12.75">
      <c r="A15" s="3">
        <v>40522</v>
      </c>
      <c r="B15" t="s">
        <v>76</v>
      </c>
      <c r="C15" s="17" t="s">
        <v>66</v>
      </c>
      <c r="D15" s="1">
        <v>187591</v>
      </c>
      <c r="E15" s="2">
        <v>52.32</v>
      </c>
      <c r="F15" s="17">
        <v>15.6</v>
      </c>
      <c r="H15" s="1">
        <v>176.8</v>
      </c>
      <c r="M15" s="1">
        <f t="shared" si="0"/>
        <v>176.8</v>
      </c>
      <c r="N15" s="1">
        <f t="shared" si="1"/>
        <v>-176.8</v>
      </c>
      <c r="O15" s="2">
        <f t="shared" si="2"/>
        <v>15.360022240756185</v>
      </c>
      <c r="P15" s="21">
        <f t="shared" si="3"/>
        <v>0.20361298642533937</v>
      </c>
      <c r="Q15" t="s">
        <v>67</v>
      </c>
    </row>
    <row r="16" spans="1:16" ht="12.75">
      <c r="A16" s="3">
        <v>40526</v>
      </c>
      <c r="B16" t="s">
        <v>89</v>
      </c>
      <c r="C16" s="17">
        <v>76.9</v>
      </c>
      <c r="D16" s="1">
        <v>187771</v>
      </c>
      <c r="E16" s="2">
        <v>57.55</v>
      </c>
      <c r="F16" s="17">
        <v>18.2</v>
      </c>
      <c r="G16" s="1">
        <v>180.1</v>
      </c>
      <c r="M16" s="1">
        <f t="shared" si="0"/>
        <v>180.1</v>
      </c>
      <c r="N16" s="1">
        <f t="shared" si="1"/>
        <v>0</v>
      </c>
      <c r="O16" s="2">
        <f t="shared" si="2"/>
        <v>14.224784772134903</v>
      </c>
      <c r="P16" s="21">
        <f t="shared" si="3"/>
        <v>0.21986272903942253</v>
      </c>
    </row>
    <row r="17" spans="1:16" ht="12.75">
      <c r="A17" s="3">
        <v>40537</v>
      </c>
      <c r="B17" t="s">
        <v>83</v>
      </c>
      <c r="C17" s="17">
        <v>74.7</v>
      </c>
      <c r="D17" s="1">
        <v>187881</v>
      </c>
      <c r="E17" s="2">
        <v>37.71</v>
      </c>
      <c r="F17" s="17">
        <v>14.8</v>
      </c>
      <c r="G17" s="1">
        <v>110.2</v>
      </c>
      <c r="M17" s="1">
        <f t="shared" si="0"/>
        <v>110.2</v>
      </c>
      <c r="N17" s="1">
        <f t="shared" si="1"/>
        <v>0</v>
      </c>
      <c r="O17" s="2">
        <f t="shared" si="2"/>
        <v>13.283189894168414</v>
      </c>
      <c r="P17" s="21">
        <f t="shared" si="3"/>
        <v>0.23544796279491834</v>
      </c>
    </row>
    <row r="18" spans="1:16" ht="12.75">
      <c r="A18" s="3">
        <v>40542</v>
      </c>
      <c r="B18" t="s">
        <v>90</v>
      </c>
      <c r="C18" s="17">
        <v>74.9</v>
      </c>
      <c r="D18" s="1">
        <v>188111</v>
      </c>
      <c r="E18" s="2">
        <v>54.64</v>
      </c>
      <c r="F18" s="17">
        <v>19.6</v>
      </c>
      <c r="G18" s="1">
        <v>225.5</v>
      </c>
      <c r="M18" s="1">
        <f t="shared" si="0"/>
        <v>225.5</v>
      </c>
      <c r="N18" s="1">
        <f t="shared" si="1"/>
        <v>0</v>
      </c>
      <c r="O18" s="2">
        <f t="shared" si="2"/>
        <v>18.759150805270863</v>
      </c>
      <c r="P18" s="21">
        <f t="shared" si="3"/>
        <v>0.16671863414634147</v>
      </c>
    </row>
    <row r="19" spans="1:16" ht="12.75">
      <c r="A19" s="3">
        <v>40555</v>
      </c>
      <c r="B19" t="s">
        <v>83</v>
      </c>
      <c r="C19" s="17">
        <v>79.9</v>
      </c>
      <c r="D19" s="1">
        <v>188286</v>
      </c>
      <c r="E19" s="2">
        <v>52.59</v>
      </c>
      <c r="F19" s="17">
        <v>18.5</v>
      </c>
      <c r="G19" s="1">
        <v>175.1</v>
      </c>
      <c r="M19" s="1">
        <f t="shared" si="0"/>
        <v>175.1</v>
      </c>
      <c r="N19" s="1">
        <f t="shared" si="1"/>
        <v>0</v>
      </c>
      <c r="O19" s="2">
        <f t="shared" si="2"/>
        <v>15.134228767999446</v>
      </c>
      <c r="P19" s="21">
        <f t="shared" si="3"/>
        <v>0.20665076813249572</v>
      </c>
    </row>
    <row r="20" spans="1:17" ht="12.75">
      <c r="A20" s="3">
        <v>40567</v>
      </c>
      <c r="B20" t="s">
        <v>85</v>
      </c>
      <c r="C20" s="17">
        <f>60.8*1.2</f>
        <v>72.96</v>
      </c>
      <c r="D20" s="1">
        <v>188569</v>
      </c>
      <c r="E20" s="2">
        <v>56.19</v>
      </c>
      <c r="F20" s="17">
        <v>20.6</v>
      </c>
      <c r="G20" s="1">
        <v>283.3</v>
      </c>
      <c r="H20" s="1">
        <v>216.9</v>
      </c>
      <c r="M20" s="1">
        <f t="shared" si="0"/>
        <v>216.9</v>
      </c>
      <c r="N20" s="1">
        <f t="shared" si="1"/>
        <v>66.4</v>
      </c>
      <c r="O20" s="2">
        <f t="shared" si="2"/>
        <v>17.54598844828423</v>
      </c>
      <c r="P20" s="21">
        <f t="shared" si="3"/>
        <v>0.1782458713692946</v>
      </c>
      <c r="Q20" t="s">
        <v>49</v>
      </c>
    </row>
    <row r="21" spans="1:17" ht="12.75">
      <c r="A21" s="3">
        <v>40592</v>
      </c>
      <c r="B21" t="s">
        <v>94</v>
      </c>
      <c r="E21" s="24">
        <v>57</v>
      </c>
      <c r="H21" s="1">
        <v>179.4</v>
      </c>
      <c r="M21" s="1">
        <f t="shared" si="0"/>
        <v>179.4</v>
      </c>
      <c r="N21" s="1">
        <f t="shared" si="1"/>
        <v>-179.4</v>
      </c>
      <c r="O21" s="2">
        <f t="shared" si="2"/>
        <v>14.30622009569378</v>
      </c>
      <c r="P21" s="21">
        <f t="shared" si="3"/>
        <v>0.2186112040133779</v>
      </c>
      <c r="Q21" s="19" t="s">
        <v>150</v>
      </c>
    </row>
    <row r="22" spans="1:17" ht="12.75">
      <c r="A22" s="3">
        <v>40593</v>
      </c>
      <c r="B22" t="s">
        <v>90</v>
      </c>
      <c r="C22" s="17">
        <v>78.9</v>
      </c>
      <c r="D22" s="1">
        <v>188806</v>
      </c>
      <c r="E22" s="2">
        <v>22.44</v>
      </c>
      <c r="F22" s="17">
        <v>18.2</v>
      </c>
      <c r="G22" s="1">
        <v>237.1</v>
      </c>
      <c r="H22" s="1">
        <v>216</v>
      </c>
      <c r="M22" s="1">
        <f t="shared" si="0"/>
        <v>216</v>
      </c>
      <c r="N22" s="1">
        <f t="shared" si="1"/>
        <v>21.099999999999994</v>
      </c>
      <c r="O22" s="2">
        <f t="shared" si="2"/>
        <v>43.75303840544482</v>
      </c>
      <c r="P22" s="21">
        <f t="shared" si="3"/>
        <v>0.07148075000000001</v>
      </c>
      <c r="Q22" t="s">
        <v>93</v>
      </c>
    </row>
    <row r="23" spans="1:16" ht="12.75">
      <c r="A23" s="3">
        <v>40595</v>
      </c>
      <c r="B23" t="s">
        <v>85</v>
      </c>
      <c r="C23" s="17">
        <v>60.8</v>
      </c>
      <c r="D23" s="1">
        <v>188897</v>
      </c>
      <c r="E23" s="2">
        <v>57.64</v>
      </c>
      <c r="H23" s="1">
        <v>327.4</v>
      </c>
      <c r="M23" s="1">
        <f t="shared" si="0"/>
        <v>327.4</v>
      </c>
      <c r="N23" s="1">
        <f t="shared" si="1"/>
        <v>-327.4</v>
      </c>
      <c r="O23" s="2">
        <f>IF(Q22="Not a complete fill.",M23/E23/0.22,M23/E23/0.22)</f>
        <v>25.818560343196012</v>
      </c>
      <c r="P23" s="21">
        <f t="shared" si="3"/>
        <v>0.12113378741600489</v>
      </c>
    </row>
    <row r="24" spans="1:17" ht="12.75">
      <c r="A24" s="3">
        <v>40621</v>
      </c>
      <c r="B24" t="s">
        <v>84</v>
      </c>
      <c r="C24" s="17">
        <v>79.9</v>
      </c>
      <c r="D24" s="1">
        <v>189019</v>
      </c>
      <c r="E24" s="2">
        <v>35.08</v>
      </c>
      <c r="G24" s="1">
        <v>114.8</v>
      </c>
      <c r="M24" s="1">
        <f t="shared" si="0"/>
        <v>114.8</v>
      </c>
      <c r="N24" s="1">
        <f t="shared" si="1"/>
        <v>0</v>
      </c>
      <c r="O24" s="2">
        <f t="shared" si="2"/>
        <v>14.87509070177257</v>
      </c>
      <c r="P24" s="21">
        <f t="shared" si="3"/>
        <v>0.21025081881533103</v>
      </c>
      <c r="Q24" t="s">
        <v>81</v>
      </c>
    </row>
    <row r="25" spans="1:17" ht="12.75">
      <c r="A25" s="3">
        <v>40623</v>
      </c>
      <c r="B25" t="s">
        <v>80</v>
      </c>
      <c r="C25" s="17">
        <v>60.8</v>
      </c>
      <c r="D25" s="1">
        <v>189243</v>
      </c>
      <c r="E25" s="2">
        <v>58.88</v>
      </c>
      <c r="F25" s="17">
        <v>20.5</v>
      </c>
      <c r="G25" s="1">
        <v>224</v>
      </c>
      <c r="M25" s="1">
        <f t="shared" si="0"/>
        <v>224</v>
      </c>
      <c r="N25" s="1">
        <f t="shared" si="1"/>
        <v>0</v>
      </c>
      <c r="O25" s="2">
        <f t="shared" si="2"/>
        <v>17.292490118577074</v>
      </c>
      <c r="P25" s="21">
        <f t="shared" si="3"/>
        <v>0.18085885714285715</v>
      </c>
      <c r="Q25" t="s">
        <v>81</v>
      </c>
    </row>
    <row r="26" spans="1:16" ht="12.75">
      <c r="A26" s="3">
        <v>40637</v>
      </c>
      <c r="B26" t="s">
        <v>85</v>
      </c>
      <c r="C26" s="17">
        <v>60.8</v>
      </c>
      <c r="D26" s="1">
        <v>189445</v>
      </c>
      <c r="E26" s="2">
        <v>58.18</v>
      </c>
      <c r="F26" s="17">
        <v>18.3</v>
      </c>
      <c r="G26" s="1">
        <v>202.4</v>
      </c>
      <c r="M26" s="1">
        <f t="shared" si="0"/>
        <v>202.4</v>
      </c>
      <c r="N26" s="1">
        <f t="shared" si="1"/>
        <v>0</v>
      </c>
      <c r="O26" s="2">
        <f t="shared" si="2"/>
        <v>15.812994156067377</v>
      </c>
      <c r="P26" s="21">
        <f t="shared" si="3"/>
        <v>0.1977803804347826</v>
      </c>
    </row>
    <row r="27" spans="1:16" ht="12.75">
      <c r="A27" s="3">
        <v>40651</v>
      </c>
      <c r="B27" t="s">
        <v>90</v>
      </c>
      <c r="C27" s="17">
        <v>78.9</v>
      </c>
      <c r="D27" s="1">
        <v>189675</v>
      </c>
      <c r="E27" s="2">
        <v>61.84</v>
      </c>
      <c r="F27" s="17">
        <v>17.9</v>
      </c>
      <c r="G27" s="1">
        <v>229.6</v>
      </c>
      <c r="H27" s="1">
        <v>209.1</v>
      </c>
      <c r="M27" s="1">
        <f t="shared" si="0"/>
        <v>209.1</v>
      </c>
      <c r="N27" s="1">
        <f t="shared" si="1"/>
        <v>20.5</v>
      </c>
      <c r="O27" s="2">
        <f t="shared" si="2"/>
        <v>15.369575443960953</v>
      </c>
      <c r="P27" s="21">
        <f t="shared" si="3"/>
        <v>0.20348642754662843</v>
      </c>
    </row>
    <row r="28" spans="1:16" ht="12.75">
      <c r="A28" s="3">
        <v>40676</v>
      </c>
      <c r="B28" t="s">
        <v>85</v>
      </c>
      <c r="C28" s="17">
        <v>60.8</v>
      </c>
      <c r="D28" s="1">
        <v>189858</v>
      </c>
      <c r="E28" s="2">
        <v>47.27</v>
      </c>
      <c r="F28" s="17">
        <v>19.6</v>
      </c>
      <c r="G28" s="1">
        <v>183</v>
      </c>
      <c r="M28" s="1">
        <f t="shared" si="0"/>
        <v>183</v>
      </c>
      <c r="N28" s="1">
        <f t="shared" si="1"/>
        <v>0</v>
      </c>
      <c r="O28" s="2">
        <f t="shared" si="2"/>
        <v>17.5971690674462</v>
      </c>
      <c r="P28" s="21">
        <f t="shared" si="3"/>
        <v>0.17772745081967212</v>
      </c>
    </row>
    <row r="29" spans="1:16" ht="12.75">
      <c r="A29" s="3">
        <v>40678</v>
      </c>
      <c r="B29" t="s">
        <v>76</v>
      </c>
      <c r="C29" s="17">
        <v>60.8</v>
      </c>
      <c r="D29" s="1">
        <v>190074</v>
      </c>
      <c r="E29" s="2">
        <v>57.24</v>
      </c>
      <c r="F29" s="17">
        <v>20</v>
      </c>
      <c r="G29" s="1">
        <v>209.3</v>
      </c>
      <c r="M29" s="1">
        <f t="shared" si="0"/>
        <v>209.3</v>
      </c>
      <c r="N29" s="1">
        <f t="shared" si="1"/>
        <v>0</v>
      </c>
      <c r="O29" s="2">
        <f t="shared" si="2"/>
        <v>16.620608601740678</v>
      </c>
      <c r="P29" s="21">
        <f t="shared" si="3"/>
        <v>0.18817000477783086</v>
      </c>
    </row>
    <row r="30" spans="1:16" ht="12.75">
      <c r="A30" s="3">
        <v>40699</v>
      </c>
      <c r="B30" t="s">
        <v>85</v>
      </c>
      <c r="C30" s="17">
        <v>60.8</v>
      </c>
      <c r="D30" s="1">
        <v>190330</v>
      </c>
      <c r="E30" s="2">
        <v>58.66</v>
      </c>
      <c r="F30" s="17">
        <v>19.5</v>
      </c>
      <c r="G30" s="1">
        <v>256</v>
      </c>
      <c r="H30" s="1">
        <v>200.2</v>
      </c>
      <c r="M30" s="1">
        <f t="shared" si="0"/>
        <v>200.2</v>
      </c>
      <c r="N30" s="1">
        <f t="shared" si="1"/>
        <v>55.80000000000001</v>
      </c>
      <c r="O30" s="2">
        <f t="shared" si="2"/>
        <v>15.513126491646778</v>
      </c>
      <c r="P30" s="21">
        <f t="shared" si="3"/>
        <v>0.20160346153846154</v>
      </c>
    </row>
    <row r="31" spans="1:17" ht="12.75">
      <c r="A31" s="3">
        <v>40713</v>
      </c>
      <c r="B31" t="s">
        <v>92</v>
      </c>
      <c r="C31" s="17">
        <v>77</v>
      </c>
      <c r="D31" s="1">
        <v>190555</v>
      </c>
      <c r="E31" s="2">
        <v>13.21</v>
      </c>
      <c r="G31" s="1">
        <v>225.3</v>
      </c>
      <c r="H31" s="1">
        <v>189.7</v>
      </c>
      <c r="M31" s="1">
        <f t="shared" si="0"/>
        <v>189.7</v>
      </c>
      <c r="N31" s="1">
        <f t="shared" si="1"/>
        <v>35.60000000000002</v>
      </c>
      <c r="O31" s="2">
        <f t="shared" si="2"/>
        <v>65.27424127726928</v>
      </c>
      <c r="P31" s="21">
        <f t="shared" si="3"/>
        <v>0.04791323405376911</v>
      </c>
      <c r="Q31" t="s">
        <v>93</v>
      </c>
    </row>
    <row r="32" spans="1:16" ht="12.75">
      <c r="A32" s="3">
        <v>40713</v>
      </c>
      <c r="B32" t="s">
        <v>85</v>
      </c>
      <c r="C32" s="17">
        <v>60.8</v>
      </c>
      <c r="D32" s="1">
        <v>190613</v>
      </c>
      <c r="E32" s="2">
        <v>58.8</v>
      </c>
      <c r="G32" s="1">
        <v>283</v>
      </c>
      <c r="M32" s="1">
        <f t="shared" si="0"/>
        <v>283</v>
      </c>
      <c r="N32" s="1">
        <f t="shared" si="1"/>
        <v>0</v>
      </c>
      <c r="O32" s="2">
        <f>IF(Q31="Not a complete fill.",M32/E32/0.22,M32/E32/0.22)</f>
        <v>21.876932591218306</v>
      </c>
      <c r="P32" s="21">
        <f t="shared" si="3"/>
        <v>0.14295879858657243</v>
      </c>
    </row>
    <row r="33" spans="1:16" ht="12.75">
      <c r="A33" s="3">
        <v>40728</v>
      </c>
      <c r="B33" t="s">
        <v>83</v>
      </c>
      <c r="C33" s="17">
        <v>73</v>
      </c>
      <c r="D33" s="1">
        <v>190912</v>
      </c>
      <c r="E33" s="2">
        <v>57.5</v>
      </c>
      <c r="F33" s="17">
        <v>18.8</v>
      </c>
      <c r="G33" s="1">
        <v>298.7</v>
      </c>
      <c r="H33" s="1">
        <v>200</v>
      </c>
      <c r="M33" s="1">
        <f t="shared" si="0"/>
        <v>200</v>
      </c>
      <c r="N33" s="1">
        <f t="shared" si="1"/>
        <v>98.69999999999999</v>
      </c>
      <c r="O33" s="2">
        <f t="shared" si="2"/>
        <v>15.810276679841897</v>
      </c>
      <c r="P33" s="21">
        <f t="shared" si="3"/>
        <v>0.19781437500000001</v>
      </c>
    </row>
    <row r="34" spans="1:17" ht="12.75">
      <c r="A34" s="3">
        <v>40922</v>
      </c>
      <c r="B34" t="s">
        <v>83</v>
      </c>
      <c r="C34" s="17">
        <v>73</v>
      </c>
      <c r="D34" s="1">
        <f>191258-222.9</f>
        <v>191035.1</v>
      </c>
      <c r="E34" s="2">
        <f>37.11/0.73</f>
        <v>50.83561643835616</v>
      </c>
      <c r="G34" s="1">
        <f>D34-D33</f>
        <v>123.10000000000582</v>
      </c>
      <c r="M34" s="1">
        <f t="shared" si="0"/>
        <v>123.10000000000582</v>
      </c>
      <c r="N34" s="1">
        <f t="shared" si="1"/>
        <v>0</v>
      </c>
      <c r="O34" s="2">
        <f t="shared" si="2"/>
        <v>11.006957203400733</v>
      </c>
      <c r="P34" s="21">
        <f t="shared" si="3"/>
        <v>0.28413847189609504</v>
      </c>
      <c r="Q34" t="s">
        <v>96</v>
      </c>
    </row>
    <row r="35" spans="1:17" ht="12.75">
      <c r="A35" s="3">
        <v>40924</v>
      </c>
      <c r="B35" t="s">
        <v>90</v>
      </c>
      <c r="C35" s="17">
        <v>69.9</v>
      </c>
      <c r="D35" s="1">
        <v>191258</v>
      </c>
      <c r="E35" s="2">
        <v>58.36</v>
      </c>
      <c r="F35" s="17">
        <v>17</v>
      </c>
      <c r="G35" s="1">
        <v>222.9</v>
      </c>
      <c r="H35" s="1">
        <v>213.8</v>
      </c>
      <c r="M35" s="1">
        <f t="shared" si="0"/>
        <v>213.8</v>
      </c>
      <c r="N35" s="1">
        <f t="shared" si="1"/>
        <v>9.099999999999994</v>
      </c>
      <c r="O35" s="2">
        <f t="shared" si="2"/>
        <v>16.65212785843355</v>
      </c>
      <c r="P35" s="21">
        <f t="shared" si="3"/>
        <v>0.18781383536014964</v>
      </c>
      <c r="Q35" t="s">
        <v>97</v>
      </c>
    </row>
    <row r="36" spans="1:17" ht="12.75">
      <c r="A36" s="3">
        <v>40931</v>
      </c>
      <c r="B36" t="s">
        <v>90</v>
      </c>
      <c r="C36" s="17" t="s">
        <v>98</v>
      </c>
      <c r="D36" s="1">
        <v>191480</v>
      </c>
      <c r="E36" s="2">
        <v>58.92</v>
      </c>
      <c r="F36" s="17">
        <v>19.9</v>
      </c>
      <c r="G36" s="1">
        <v>221.7</v>
      </c>
      <c r="H36" s="1">
        <v>214</v>
      </c>
      <c r="M36" s="1">
        <f t="shared" si="0"/>
        <v>214</v>
      </c>
      <c r="N36" s="1">
        <f t="shared" si="1"/>
        <v>7.699999999999989</v>
      </c>
      <c r="O36" s="2">
        <f t="shared" si="2"/>
        <v>16.50928840338209</v>
      </c>
      <c r="P36" s="21">
        <f t="shared" si="3"/>
        <v>0.18943881308411215</v>
      </c>
      <c r="Q36" t="s">
        <v>99</v>
      </c>
    </row>
    <row r="37" spans="1:17" ht="12.75">
      <c r="A37" s="3">
        <v>40938</v>
      </c>
      <c r="B37" t="s">
        <v>90</v>
      </c>
      <c r="C37" s="17">
        <v>71.9</v>
      </c>
      <c r="D37" s="1">
        <v>191668</v>
      </c>
      <c r="E37" s="2">
        <v>55.92</v>
      </c>
      <c r="F37" s="17">
        <v>18</v>
      </c>
      <c r="G37" s="1">
        <v>187.3</v>
      </c>
      <c r="M37" s="1">
        <f aca="true" t="shared" si="4" ref="M37:M42">IF(H37="",G37,H37)</f>
        <v>187.3</v>
      </c>
      <c r="N37" s="1">
        <f aca="true" t="shared" si="5" ref="N37:N42">IF(H37="",0,G37-M37)</f>
        <v>0</v>
      </c>
      <c r="O37" s="2">
        <f aca="true" t="shared" si="6" ref="O37:O42">IF(Q36="Not a complete fill.","N/A",M37/E37/0.22)</f>
        <v>15.224671608791782</v>
      </c>
      <c r="P37" s="21">
        <f t="shared" si="3"/>
        <v>0.20542315002669512</v>
      </c>
      <c r="Q37" t="s">
        <v>99</v>
      </c>
    </row>
    <row r="38" spans="1:16" ht="12.75">
      <c r="A38" s="3">
        <v>40940</v>
      </c>
      <c r="B38" t="s">
        <v>90</v>
      </c>
      <c r="C38" s="17">
        <v>71.9</v>
      </c>
      <c r="D38" s="1">
        <v>191823</v>
      </c>
      <c r="E38" s="2">
        <v>45.44</v>
      </c>
      <c r="F38" s="17">
        <v>17.7</v>
      </c>
      <c r="G38" s="1">
        <v>155.2</v>
      </c>
      <c r="M38" s="1">
        <f t="shared" si="4"/>
        <v>155.2</v>
      </c>
      <c r="N38" s="1">
        <f t="shared" si="5"/>
        <v>0</v>
      </c>
      <c r="O38" s="2">
        <f t="shared" si="6"/>
        <v>15.524967989756723</v>
      </c>
      <c r="P38" s="21">
        <f t="shared" si="3"/>
        <v>0.20144969072164948</v>
      </c>
    </row>
    <row r="39" spans="1:17" ht="12.75">
      <c r="A39" s="3">
        <v>40949</v>
      </c>
      <c r="B39" t="s">
        <v>101</v>
      </c>
      <c r="C39" s="17">
        <v>77.9</v>
      </c>
      <c r="D39" s="1">
        <v>192027</v>
      </c>
      <c r="E39" s="2">
        <v>54.2</v>
      </c>
      <c r="F39" s="17">
        <v>15.8</v>
      </c>
      <c r="G39" s="1">
        <f>D39-D38</f>
        <v>204</v>
      </c>
      <c r="M39" s="1">
        <f t="shared" si="4"/>
        <v>204</v>
      </c>
      <c r="N39" s="1">
        <f t="shared" si="5"/>
        <v>0</v>
      </c>
      <c r="O39" s="2">
        <f t="shared" si="6"/>
        <v>17.108352901710834</v>
      </c>
      <c r="P39" s="21">
        <f t="shared" si="3"/>
        <v>0.1828054411764706</v>
      </c>
      <c r="Q39" t="s">
        <v>102</v>
      </c>
    </row>
    <row r="40" spans="1:16" ht="12.75">
      <c r="A40" s="3">
        <v>40955</v>
      </c>
      <c r="B40" t="s">
        <v>90</v>
      </c>
      <c r="C40" s="17">
        <v>72.9</v>
      </c>
      <c r="D40" s="1">
        <v>192204</v>
      </c>
      <c r="E40" s="2">
        <v>42.28</v>
      </c>
      <c r="F40" s="17">
        <v>18.1</v>
      </c>
      <c r="G40" s="1">
        <v>176.6</v>
      </c>
      <c r="M40" s="1">
        <f t="shared" si="4"/>
        <v>176.6</v>
      </c>
      <c r="N40" s="1">
        <f t="shared" si="5"/>
        <v>0</v>
      </c>
      <c r="O40" s="2">
        <f t="shared" si="6"/>
        <v>18.985980906510704</v>
      </c>
      <c r="P40" s="21">
        <f t="shared" si="3"/>
        <v>0.1647268063420159</v>
      </c>
    </row>
    <row r="41" spans="1:16" ht="12.75">
      <c r="A41" s="3">
        <v>40968</v>
      </c>
      <c r="B41" t="s">
        <v>90</v>
      </c>
      <c r="C41" s="17">
        <v>75.9</v>
      </c>
      <c r="D41" s="1">
        <v>192451</v>
      </c>
      <c r="E41" s="2">
        <v>56.7</v>
      </c>
      <c r="F41" s="17">
        <v>17.4</v>
      </c>
      <c r="G41" s="1">
        <v>246.7</v>
      </c>
      <c r="H41" s="1">
        <v>213.4</v>
      </c>
      <c r="M41" s="1">
        <f t="shared" si="4"/>
        <v>213.4</v>
      </c>
      <c r="N41" s="1">
        <f t="shared" si="5"/>
        <v>33.29999999999998</v>
      </c>
      <c r="O41" s="2">
        <f t="shared" si="6"/>
        <v>17.10758377425044</v>
      </c>
      <c r="P41" s="21">
        <f t="shared" si="3"/>
        <v>0.18281365979381445</v>
      </c>
    </row>
    <row r="42" spans="1:16" ht="12.75">
      <c r="A42" s="3">
        <v>40975</v>
      </c>
      <c r="B42" t="s">
        <v>103</v>
      </c>
      <c r="C42" s="17">
        <v>83.9</v>
      </c>
      <c r="D42" s="1">
        <v>192703</v>
      </c>
      <c r="E42" s="2">
        <v>61.7</v>
      </c>
      <c r="F42" s="17">
        <v>17.8</v>
      </c>
      <c r="G42" s="1">
        <v>252</v>
      </c>
      <c r="H42" s="1">
        <v>210</v>
      </c>
      <c r="M42" s="1">
        <f t="shared" si="4"/>
        <v>210</v>
      </c>
      <c r="N42" s="1">
        <f t="shared" si="5"/>
        <v>42</v>
      </c>
      <c r="O42" s="2">
        <f t="shared" si="6"/>
        <v>15.470752909974951</v>
      </c>
      <c r="P42" s="21">
        <f t="shared" si="3"/>
        <v>0.20215564285714285</v>
      </c>
    </row>
    <row r="43" spans="1:16" ht="12.75">
      <c r="A43" s="3">
        <v>40977</v>
      </c>
      <c r="B43" t="s">
        <v>90</v>
      </c>
      <c r="C43" s="17">
        <v>79.9</v>
      </c>
      <c r="D43" s="1">
        <v>192911</v>
      </c>
      <c r="E43" s="2">
        <v>52.78</v>
      </c>
      <c r="F43" s="17">
        <v>19.3</v>
      </c>
      <c r="G43" s="1">
        <v>208.1</v>
      </c>
      <c r="M43" s="1">
        <f aca="true" t="shared" si="7" ref="M43:M52">IF(H43="",G43,H43)</f>
        <v>208.1</v>
      </c>
      <c r="N43" s="1">
        <f aca="true" t="shared" si="8" ref="N43:N52">IF(H43="",0,G43-M43)</f>
        <v>0</v>
      </c>
      <c r="O43" s="2">
        <f aca="true" t="shared" si="9" ref="O43:O52">IF(Q42="Not a complete fill.","N/A",M43/E43/0.22)</f>
        <v>17.92173343897482</v>
      </c>
      <c r="P43" s="21">
        <f t="shared" si="3"/>
        <v>0.17450878904372896</v>
      </c>
    </row>
    <row r="44" spans="1:16" ht="12.75">
      <c r="A44" s="3">
        <v>40987</v>
      </c>
      <c r="B44" t="s">
        <v>90</v>
      </c>
      <c r="C44" s="17">
        <v>79.9</v>
      </c>
      <c r="D44" s="1">
        <v>193107</v>
      </c>
      <c r="E44" s="2">
        <v>50.8</v>
      </c>
      <c r="F44" s="17">
        <v>16.9</v>
      </c>
      <c r="G44" s="1">
        <v>196.1</v>
      </c>
      <c r="M44" s="1">
        <f t="shared" si="7"/>
        <v>196.1</v>
      </c>
      <c r="N44" s="1">
        <f t="shared" si="8"/>
        <v>0</v>
      </c>
      <c r="O44" s="2">
        <f t="shared" si="9"/>
        <v>17.54652827487473</v>
      </c>
      <c r="P44" s="21">
        <f t="shared" si="3"/>
        <v>0.17824038755736868</v>
      </c>
    </row>
    <row r="45" spans="1:17" ht="12.75">
      <c r="A45" s="3">
        <v>40988</v>
      </c>
      <c r="B45" t="s">
        <v>105</v>
      </c>
      <c r="C45" s="17">
        <v>81.9</v>
      </c>
      <c r="D45" s="1">
        <v>193325</v>
      </c>
      <c r="E45" s="2">
        <v>57.89</v>
      </c>
      <c r="F45" s="17">
        <v>18.5</v>
      </c>
      <c r="G45" s="1">
        <v>205.2</v>
      </c>
      <c r="M45" s="1">
        <f t="shared" si="7"/>
        <v>205.2</v>
      </c>
      <c r="N45" s="1">
        <f t="shared" si="8"/>
        <v>0</v>
      </c>
      <c r="O45" s="2">
        <f t="shared" si="9"/>
        <v>16.112062061276088</v>
      </c>
      <c r="P45" s="21">
        <f t="shared" si="3"/>
        <v>0.19410923245614034</v>
      </c>
      <c r="Q45" t="s">
        <v>106</v>
      </c>
    </row>
    <row r="46" spans="1:17" ht="12.75">
      <c r="A46" s="3">
        <v>40994</v>
      </c>
      <c r="B46" t="s">
        <v>90</v>
      </c>
      <c r="C46" s="17">
        <v>79.9</v>
      </c>
      <c r="D46" s="1">
        <v>193505</v>
      </c>
      <c r="E46" s="2">
        <v>43.88</v>
      </c>
      <c r="F46" s="17">
        <v>19.4</v>
      </c>
      <c r="G46" s="1">
        <v>180.2</v>
      </c>
      <c r="M46" s="1">
        <f t="shared" si="7"/>
        <v>180.2</v>
      </c>
      <c r="N46" s="1">
        <f t="shared" si="8"/>
        <v>0</v>
      </c>
      <c r="O46" s="2">
        <f t="shared" si="9"/>
        <v>18.666611419574043</v>
      </c>
      <c r="P46" s="21">
        <f t="shared" si="3"/>
        <v>0.1675451387347392</v>
      </c>
      <c r="Q46" t="s">
        <v>107</v>
      </c>
    </row>
    <row r="47" spans="1:17" ht="12.75">
      <c r="A47" s="3">
        <v>40995</v>
      </c>
      <c r="B47" t="s">
        <v>101</v>
      </c>
      <c r="C47" s="17">
        <v>83.9</v>
      </c>
      <c r="D47" s="1">
        <v>193786</v>
      </c>
      <c r="E47" s="2">
        <v>53.03</v>
      </c>
      <c r="F47" s="17">
        <v>19.4</v>
      </c>
      <c r="G47" s="1">
        <v>200.6</v>
      </c>
      <c r="M47" s="1">
        <f t="shared" si="7"/>
        <v>200.6</v>
      </c>
      <c r="N47" s="1">
        <f t="shared" si="8"/>
        <v>0</v>
      </c>
      <c r="O47" s="2">
        <f t="shared" si="9"/>
        <v>17.194383967908387</v>
      </c>
      <c r="P47" s="21">
        <f t="shared" si="3"/>
        <v>0.1818907851445663</v>
      </c>
      <c r="Q47" t="s">
        <v>107</v>
      </c>
    </row>
    <row r="48" spans="1:17" ht="12.75">
      <c r="A48" s="3">
        <v>40997</v>
      </c>
      <c r="B48" t="s">
        <v>90</v>
      </c>
      <c r="C48" s="17">
        <v>79.9</v>
      </c>
      <c r="D48" s="1">
        <v>193877</v>
      </c>
      <c r="E48" s="2">
        <v>43</v>
      </c>
      <c r="F48" s="17">
        <v>20.3</v>
      </c>
      <c r="G48" s="1">
        <v>170.9</v>
      </c>
      <c r="M48" s="1">
        <f t="shared" si="7"/>
        <v>170.9</v>
      </c>
      <c r="N48" s="1">
        <f t="shared" si="8"/>
        <v>0</v>
      </c>
      <c r="O48" s="2">
        <f t="shared" si="9"/>
        <v>18.06553911205074</v>
      </c>
      <c r="P48" s="21">
        <f t="shared" si="3"/>
        <v>0.17311966062024575</v>
      </c>
      <c r="Q48" t="s">
        <v>108</v>
      </c>
    </row>
    <row r="49" spans="1:17" ht="12.75">
      <c r="A49" s="3">
        <v>40998</v>
      </c>
      <c r="B49" t="s">
        <v>110</v>
      </c>
      <c r="C49" s="17">
        <v>77.9</v>
      </c>
      <c r="D49" s="1">
        <v>194066</v>
      </c>
      <c r="E49" s="2">
        <f>44.68/C49*100</f>
        <v>57.35558408215661</v>
      </c>
      <c r="F49" s="17">
        <v>19.1</v>
      </c>
      <c r="G49" s="1">
        <v>188.5</v>
      </c>
      <c r="M49" s="1">
        <f t="shared" si="7"/>
        <v>188.5</v>
      </c>
      <c r="N49" s="1">
        <f t="shared" si="8"/>
        <v>0</v>
      </c>
      <c r="O49" s="2">
        <f t="shared" si="9"/>
        <v>14.938705542443234</v>
      </c>
      <c r="P49" s="21">
        <f t="shared" si="3"/>
        <v>0.2093554887412618</v>
      </c>
      <c r="Q49" t="s">
        <v>109</v>
      </c>
    </row>
    <row r="50" spans="1:17" ht="12.75">
      <c r="A50" s="3">
        <v>41001</v>
      </c>
      <c r="B50" t="s">
        <v>90</v>
      </c>
      <c r="C50" s="17">
        <v>77.9</v>
      </c>
      <c r="D50" s="1">
        <v>194228</v>
      </c>
      <c r="E50" s="2">
        <v>37.78</v>
      </c>
      <c r="F50" s="17">
        <v>19</v>
      </c>
      <c r="G50" s="1">
        <v>162</v>
      </c>
      <c r="M50" s="1">
        <f t="shared" si="7"/>
        <v>162</v>
      </c>
      <c r="N50" s="1">
        <f t="shared" si="8"/>
        <v>0</v>
      </c>
      <c r="O50" s="2">
        <f t="shared" si="9"/>
        <v>19.490832090090958</v>
      </c>
      <c r="P50" s="21">
        <f t="shared" si="3"/>
        <v>0.16046005555555554</v>
      </c>
      <c r="Q50" t="s">
        <v>108</v>
      </c>
    </row>
    <row r="51" spans="1:16" ht="12.75">
      <c r="A51" s="3">
        <v>41002</v>
      </c>
      <c r="B51" t="s">
        <v>110</v>
      </c>
      <c r="C51" s="17">
        <v>79.9</v>
      </c>
      <c r="D51" s="1">
        <v>194434</v>
      </c>
      <c r="E51" s="2">
        <v>57.77</v>
      </c>
      <c r="F51" s="17">
        <v>19.7</v>
      </c>
      <c r="G51" s="1">
        <v>205.8</v>
      </c>
      <c r="M51" s="1">
        <f t="shared" si="7"/>
        <v>205.8</v>
      </c>
      <c r="N51" s="1">
        <f t="shared" si="8"/>
        <v>0</v>
      </c>
      <c r="O51" s="2">
        <f t="shared" si="9"/>
        <v>16.192739232379182</v>
      </c>
      <c r="P51" s="21">
        <f t="shared" si="3"/>
        <v>0.19314212099125366</v>
      </c>
    </row>
    <row r="52" spans="1:17" ht="12.75">
      <c r="A52" s="3">
        <v>41005</v>
      </c>
      <c r="B52" t="s">
        <v>90</v>
      </c>
      <c r="C52" s="17">
        <v>77.9</v>
      </c>
      <c r="D52" s="1">
        <v>194634</v>
      </c>
      <c r="E52" s="2">
        <v>49.68</v>
      </c>
      <c r="F52" s="17">
        <v>19.1</v>
      </c>
      <c r="G52" s="1">
        <v>200.2</v>
      </c>
      <c r="M52" s="1">
        <f t="shared" si="7"/>
        <v>200.2</v>
      </c>
      <c r="N52" s="1">
        <f t="shared" si="8"/>
        <v>0</v>
      </c>
      <c r="O52" s="2">
        <f t="shared" si="9"/>
        <v>18.31723027375201</v>
      </c>
      <c r="P52" s="21">
        <f t="shared" si="3"/>
        <v>0.17074087912087915</v>
      </c>
      <c r="Q52" t="s">
        <v>108</v>
      </c>
    </row>
    <row r="53" spans="1:17" ht="12.75">
      <c r="A53" s="3">
        <v>41010</v>
      </c>
      <c r="B53" t="s">
        <v>90</v>
      </c>
      <c r="C53" s="17">
        <v>77.9</v>
      </c>
      <c r="D53" s="1">
        <v>194819</v>
      </c>
      <c r="E53" s="2">
        <v>48.74</v>
      </c>
      <c r="F53" s="17">
        <v>18.9</v>
      </c>
      <c r="G53" s="1">
        <f>385.1-G52</f>
        <v>184.90000000000003</v>
      </c>
      <c r="M53" s="1">
        <f aca="true" t="shared" si="10" ref="M53:M61">IF(H53="",G53,H53)</f>
        <v>184.90000000000003</v>
      </c>
      <c r="N53" s="1">
        <f aca="true" t="shared" si="11" ref="N53:N61">IF(H53="",0,G53-M53)</f>
        <v>0</v>
      </c>
      <c r="O53" s="2">
        <f aca="true" t="shared" si="12" ref="O53:O61">IF(Q52="Not a complete fill.","N/A",M53/E53/0.22)</f>
        <v>17.243630395046072</v>
      </c>
      <c r="P53" s="21">
        <f t="shared" si="3"/>
        <v>0.18137131963223363</v>
      </c>
      <c r="Q53" t="s">
        <v>108</v>
      </c>
    </row>
    <row r="54" spans="1:17" ht="12.75">
      <c r="A54" s="3">
        <v>41012</v>
      </c>
      <c r="B54" t="s">
        <v>90</v>
      </c>
      <c r="C54" s="17">
        <v>77.9</v>
      </c>
      <c r="D54" s="1">
        <v>195025</v>
      </c>
      <c r="E54" s="2">
        <f>15.25+50.36</f>
        <v>65.61</v>
      </c>
      <c r="F54" s="17">
        <v>19.9</v>
      </c>
      <c r="G54" s="1">
        <v>256.1</v>
      </c>
      <c r="M54" s="1">
        <f t="shared" si="10"/>
        <v>256.1</v>
      </c>
      <c r="N54" s="1">
        <f t="shared" si="11"/>
        <v>0</v>
      </c>
      <c r="O54" s="2">
        <f t="shared" si="12"/>
        <v>17.742583586204987</v>
      </c>
      <c r="P54" s="21">
        <f t="shared" si="3"/>
        <v>0.17627083365872703</v>
      </c>
      <c r="Q54" t="s">
        <v>111</v>
      </c>
    </row>
    <row r="55" spans="1:16" ht="12.75">
      <c r="A55" s="3">
        <v>41014</v>
      </c>
      <c r="B55" t="s">
        <v>90</v>
      </c>
      <c r="C55" s="17">
        <v>77.9</v>
      </c>
      <c r="D55" s="1">
        <v>195279</v>
      </c>
      <c r="E55" s="2">
        <v>56.74</v>
      </c>
      <c r="F55" s="17">
        <v>18.6</v>
      </c>
      <c r="G55" s="1">
        <v>203.1</v>
      </c>
      <c r="M55" s="1">
        <f t="shared" si="10"/>
        <v>203.1</v>
      </c>
      <c r="N55" s="1">
        <f t="shared" si="11"/>
        <v>0</v>
      </c>
      <c r="O55" s="2">
        <f t="shared" si="12"/>
        <v>16.27038805396225</v>
      </c>
      <c r="P55" s="21">
        <f t="shared" si="3"/>
        <v>0.19222036927621863</v>
      </c>
    </row>
    <row r="56" spans="1:16" ht="12.75">
      <c r="A56" s="3">
        <v>41016</v>
      </c>
      <c r="B56" t="s">
        <v>90</v>
      </c>
      <c r="C56" s="17">
        <v>77.9</v>
      </c>
      <c r="D56" s="1">
        <v>195472</v>
      </c>
      <c r="E56" s="2">
        <v>55.48</v>
      </c>
      <c r="F56" s="17">
        <v>18.2</v>
      </c>
      <c r="G56" s="1">
        <v>193.1</v>
      </c>
      <c r="M56" s="1">
        <f t="shared" si="10"/>
        <v>193.1</v>
      </c>
      <c r="N56" s="1">
        <f t="shared" si="11"/>
        <v>0</v>
      </c>
      <c r="O56" s="2">
        <f t="shared" si="12"/>
        <v>15.820606934521859</v>
      </c>
      <c r="P56" s="21">
        <f t="shared" si="3"/>
        <v>0.19768520973588813</v>
      </c>
    </row>
    <row r="57" spans="1:16" ht="12.75">
      <c r="A57" s="3">
        <v>41017</v>
      </c>
      <c r="B57" t="s">
        <v>112</v>
      </c>
      <c r="C57" s="17">
        <v>80.9</v>
      </c>
      <c r="D57" s="1">
        <v>195661</v>
      </c>
      <c r="E57" s="2">
        <v>53.66</v>
      </c>
      <c r="F57" s="17">
        <v>18.6</v>
      </c>
      <c r="G57" s="1">
        <f>382.2-G56</f>
        <v>189.1</v>
      </c>
      <c r="M57" s="1">
        <f t="shared" si="10"/>
        <v>189.1</v>
      </c>
      <c r="N57" s="1">
        <f t="shared" si="11"/>
        <v>0</v>
      </c>
      <c r="O57" s="2">
        <f t="shared" si="12"/>
        <v>16.018364788398333</v>
      </c>
      <c r="P57" s="21">
        <f t="shared" si="3"/>
        <v>0.1952446483342147</v>
      </c>
    </row>
    <row r="58" spans="1:16" ht="12.75">
      <c r="A58" s="3">
        <v>41019</v>
      </c>
      <c r="B58" t="s">
        <v>103</v>
      </c>
      <c r="C58" s="17">
        <v>84.9</v>
      </c>
      <c r="D58" s="1">
        <v>195878</v>
      </c>
      <c r="E58" s="2">
        <v>59.66</v>
      </c>
      <c r="F58" s="17">
        <v>19.1</v>
      </c>
      <c r="G58" s="1">
        <v>216.7</v>
      </c>
      <c r="M58" s="1">
        <f t="shared" si="10"/>
        <v>216.7</v>
      </c>
      <c r="N58" s="1">
        <f t="shared" si="11"/>
        <v>0</v>
      </c>
      <c r="O58" s="2">
        <f t="shared" si="12"/>
        <v>16.51022460610124</v>
      </c>
      <c r="P58" s="21">
        <f t="shared" si="3"/>
        <v>0.18942807106598986</v>
      </c>
    </row>
    <row r="59" spans="1:16" ht="12.75">
      <c r="A59" s="3">
        <v>41023</v>
      </c>
      <c r="B59" t="s">
        <v>113</v>
      </c>
      <c r="C59" s="17">
        <v>79.9</v>
      </c>
      <c r="D59" s="1">
        <v>196115</v>
      </c>
      <c r="E59" s="2">
        <v>60.78</v>
      </c>
      <c r="F59" s="17">
        <v>18.8</v>
      </c>
      <c r="G59" s="1">
        <v>236.9</v>
      </c>
      <c r="M59" s="1">
        <f t="shared" si="10"/>
        <v>236.9</v>
      </c>
      <c r="N59" s="1">
        <f t="shared" si="11"/>
        <v>0</v>
      </c>
      <c r="O59" s="2">
        <f t="shared" si="12"/>
        <v>17.716653205300787</v>
      </c>
      <c r="P59" s="21">
        <f t="shared" si="3"/>
        <v>0.17652882650907556</v>
      </c>
    </row>
    <row r="60" spans="1:16" ht="12.75">
      <c r="A60" s="3">
        <v>41026</v>
      </c>
      <c r="B60" t="s">
        <v>110</v>
      </c>
      <c r="C60" s="17">
        <v>79.9</v>
      </c>
      <c r="D60" s="1">
        <v>196350</v>
      </c>
      <c r="E60" s="2">
        <v>64.27</v>
      </c>
      <c r="F60" s="17">
        <v>18.7</v>
      </c>
      <c r="G60" s="1">
        <v>235.4</v>
      </c>
      <c r="M60" s="1">
        <f t="shared" si="10"/>
        <v>235.4</v>
      </c>
      <c r="N60" s="1">
        <f t="shared" si="11"/>
        <v>0</v>
      </c>
      <c r="O60" s="2">
        <f t="shared" si="12"/>
        <v>16.648514081219854</v>
      </c>
      <c r="P60" s="21">
        <f t="shared" si="3"/>
        <v>0.1878546028037383</v>
      </c>
    </row>
    <row r="61" spans="1:16" ht="12.75">
      <c r="A61" s="3">
        <v>41030</v>
      </c>
      <c r="B61" t="s">
        <v>112</v>
      </c>
      <c r="C61" s="17">
        <v>80.9</v>
      </c>
      <c r="D61" s="1">
        <v>196571</v>
      </c>
      <c r="E61" s="2">
        <v>57.08</v>
      </c>
      <c r="F61" s="17">
        <v>17.5</v>
      </c>
      <c r="G61" s="1">
        <v>220.2</v>
      </c>
      <c r="M61" s="1">
        <f t="shared" si="10"/>
        <v>220.2</v>
      </c>
      <c r="N61" s="1">
        <f t="shared" si="11"/>
        <v>0</v>
      </c>
      <c r="O61" s="2">
        <f t="shared" si="12"/>
        <v>17.535197808498438</v>
      </c>
      <c r="P61" s="21">
        <f t="shared" si="3"/>
        <v>0.17835555858310628</v>
      </c>
    </row>
    <row r="62" spans="1:16" ht="12.75">
      <c r="A62" s="3">
        <v>41033</v>
      </c>
      <c r="B62" t="s">
        <v>115</v>
      </c>
      <c r="C62" s="17">
        <v>78.9</v>
      </c>
      <c r="D62" s="1">
        <v>196824</v>
      </c>
      <c r="E62" s="2">
        <v>58.2</v>
      </c>
      <c r="F62" s="17">
        <v>18.5</v>
      </c>
      <c r="G62" s="1">
        <v>253.7</v>
      </c>
      <c r="H62" s="1">
        <v>201.8</v>
      </c>
      <c r="M62" s="1">
        <f aca="true" t="shared" si="13" ref="M62:M69">IF(H62="",G62,H62)</f>
        <v>201.8</v>
      </c>
      <c r="N62" s="1">
        <f aca="true" t="shared" si="14" ref="N62:N68">IF(H62="",0,G62-M62)</f>
        <v>51.89999999999998</v>
      </c>
      <c r="O62" s="2">
        <f aca="true" t="shared" si="15" ref="O62:O68">IF(Q61="Not a complete fill.","N/A",M62/E62/0.22)</f>
        <v>15.760699781318339</v>
      </c>
      <c r="P62" s="21">
        <f t="shared" si="3"/>
        <v>0.1984366204162537</v>
      </c>
    </row>
    <row r="63" spans="1:17" ht="12.75">
      <c r="A63" s="3">
        <v>41200</v>
      </c>
      <c r="B63" t="s">
        <v>126</v>
      </c>
      <c r="C63" s="17">
        <v>69.9</v>
      </c>
      <c r="D63" s="1">
        <v>197236</v>
      </c>
      <c r="E63" s="2">
        <f>37.68/C63*100</f>
        <v>53.90557939914162</v>
      </c>
      <c r="F63" s="17">
        <v>16.7</v>
      </c>
      <c r="G63" s="1">
        <v>411.6</v>
      </c>
      <c r="H63" s="23">
        <v>225</v>
      </c>
      <c r="M63" s="1">
        <f t="shared" si="13"/>
        <v>225</v>
      </c>
      <c r="N63" s="1">
        <f t="shared" si="14"/>
        <v>186.60000000000002</v>
      </c>
      <c r="O63" s="2">
        <f t="shared" si="15"/>
        <v>18.972568037058487</v>
      </c>
      <c r="P63" s="21">
        <f t="shared" si="3"/>
        <v>0.16484326180257508</v>
      </c>
      <c r="Q63" t="s">
        <v>149</v>
      </c>
    </row>
    <row r="64" spans="1:17" ht="12.75">
      <c r="A64" s="3">
        <v>41211</v>
      </c>
      <c r="B64" t="s">
        <v>126</v>
      </c>
      <c r="C64" s="17">
        <v>69.9</v>
      </c>
      <c r="D64" s="1">
        <v>197447</v>
      </c>
      <c r="E64" s="2">
        <v>51.5</v>
      </c>
      <c r="F64" s="17">
        <v>19.6</v>
      </c>
      <c r="G64" s="1">
        <v>205.5</v>
      </c>
      <c r="M64" s="1">
        <f t="shared" si="13"/>
        <v>205.5</v>
      </c>
      <c r="N64" s="1">
        <f t="shared" si="14"/>
        <v>0</v>
      </c>
      <c r="O64" s="2">
        <f t="shared" si="15"/>
        <v>18.137687555163282</v>
      </c>
      <c r="P64" s="21">
        <f t="shared" si="3"/>
        <v>0.17243102189781023</v>
      </c>
      <c r="Q64" t="s">
        <v>127</v>
      </c>
    </row>
    <row r="65" spans="1:17" ht="12.75">
      <c r="A65" s="3">
        <v>41227</v>
      </c>
      <c r="B65" t="s">
        <v>126</v>
      </c>
      <c r="C65" s="17">
        <v>69.9</v>
      </c>
      <c r="D65" s="1">
        <v>197709</v>
      </c>
      <c r="E65" s="2">
        <v>57.03</v>
      </c>
      <c r="F65" s="17">
        <v>18.3</v>
      </c>
      <c r="G65" s="1">
        <v>267.5</v>
      </c>
      <c r="H65" s="1">
        <v>238</v>
      </c>
      <c r="M65" s="1">
        <f t="shared" si="13"/>
        <v>238</v>
      </c>
      <c r="N65" s="1">
        <f t="shared" si="14"/>
        <v>29.5</v>
      </c>
      <c r="O65" s="2">
        <f t="shared" si="15"/>
        <v>18.96928251478488</v>
      </c>
      <c r="P65" s="21">
        <f t="shared" si="3"/>
        <v>0.1648718130252101</v>
      </c>
      <c r="Q65" t="s">
        <v>128</v>
      </c>
    </row>
    <row r="66" spans="1:17" ht="12.75">
      <c r="A66" s="3">
        <v>41248</v>
      </c>
      <c r="B66" s="19" t="s">
        <v>129</v>
      </c>
      <c r="C66" s="17">
        <v>77.9</v>
      </c>
      <c r="D66" s="1">
        <v>197936</v>
      </c>
      <c r="E66" s="2">
        <v>51.62</v>
      </c>
      <c r="F66" s="17">
        <v>19.3</v>
      </c>
      <c r="G66" s="1">
        <f>226.3-18</f>
        <v>208.3</v>
      </c>
      <c r="M66" s="1">
        <f t="shared" si="13"/>
        <v>208.3</v>
      </c>
      <c r="N66" s="1">
        <f t="shared" si="14"/>
        <v>0</v>
      </c>
      <c r="O66" s="2">
        <f t="shared" si="15"/>
        <v>18.34208023669473</v>
      </c>
      <c r="P66" s="21">
        <f t="shared" si="3"/>
        <v>0.17050955832933265</v>
      </c>
      <c r="Q66" s="19" t="s">
        <v>127</v>
      </c>
    </row>
    <row r="67" spans="1:17" ht="12.75">
      <c r="A67" s="3">
        <v>41355</v>
      </c>
      <c r="B67" s="19" t="s">
        <v>85</v>
      </c>
      <c r="C67" s="17">
        <f>61.4*1.2</f>
        <v>73.67999999999999</v>
      </c>
      <c r="D67" s="1">
        <v>198360</v>
      </c>
      <c r="E67" s="2">
        <v>39.02</v>
      </c>
      <c r="F67" s="17">
        <v>17.2</v>
      </c>
      <c r="G67" s="1">
        <v>83</v>
      </c>
      <c r="M67" s="1">
        <f t="shared" si="13"/>
        <v>83</v>
      </c>
      <c r="N67" s="1">
        <f t="shared" si="14"/>
        <v>0</v>
      </c>
      <c r="O67" s="2">
        <f t="shared" si="15"/>
        <v>9.668701365267227</v>
      </c>
      <c r="P67" s="21">
        <f t="shared" si="3"/>
        <v>0.3234663975903615</v>
      </c>
      <c r="Q67" s="19" t="s">
        <v>135</v>
      </c>
    </row>
    <row r="68" spans="1:17" ht="12.75">
      <c r="A68" s="3">
        <v>41407</v>
      </c>
      <c r="B68" s="19" t="s">
        <v>126</v>
      </c>
      <c r="C68" s="17">
        <v>71.9</v>
      </c>
      <c r="D68" s="1">
        <v>198807</v>
      </c>
      <c r="E68" s="2">
        <v>60.71</v>
      </c>
      <c r="F68" s="17">
        <v>21</v>
      </c>
      <c r="G68" s="1">
        <v>239</v>
      </c>
      <c r="M68" s="1">
        <f t="shared" si="13"/>
        <v>239</v>
      </c>
      <c r="N68" s="1">
        <f t="shared" si="14"/>
        <v>0</v>
      </c>
      <c r="O68" s="2">
        <f t="shared" si="15"/>
        <v>17.894311256195625</v>
      </c>
      <c r="P68" s="21">
        <f>S$1*4.5/O68</f>
        <v>0.17477621548117153</v>
      </c>
      <c r="Q68" s="2"/>
    </row>
    <row r="69" spans="1:17" s="31" customFormat="1" ht="12.75">
      <c r="A69" s="25">
        <v>41432</v>
      </c>
      <c r="B69" s="26" t="s">
        <v>126</v>
      </c>
      <c r="C69" s="27">
        <v>69.5</v>
      </c>
      <c r="D69" s="28">
        <v>199082</v>
      </c>
      <c r="E69" s="29">
        <v>56.84</v>
      </c>
      <c r="F69" s="27" t="s">
        <v>66</v>
      </c>
      <c r="G69" s="28">
        <v>275.4</v>
      </c>
      <c r="H69" s="28">
        <v>230</v>
      </c>
      <c r="I69" s="28"/>
      <c r="J69" s="28"/>
      <c r="K69" s="28"/>
      <c r="L69" s="28"/>
      <c r="M69" s="28">
        <f t="shared" si="13"/>
        <v>230</v>
      </c>
      <c r="N69" s="28">
        <f>IF(H69="",0,G69-M69)</f>
        <v>45.39999999999998</v>
      </c>
      <c r="O69" s="29">
        <f>IF(Q68="Not a complete fill.","N/A",M69/E69/0.22)</f>
        <v>18.392937112148935</v>
      </c>
      <c r="P69" s="30">
        <f>S$1*4.5/O69</f>
        <v>0.1700380956521739</v>
      </c>
      <c r="Q69" s="29"/>
    </row>
    <row r="71" spans="5:19" ht="12.75">
      <c r="E71" s="1">
        <f>SUM(E2:E70)</f>
        <v>3419.8653990395333</v>
      </c>
      <c r="M71" s="1">
        <f>SUM(M2:M70)</f>
        <v>12991.500000000007</v>
      </c>
      <c r="O71" s="2">
        <f>IF(Q70="Not a complete fill.","N/A",M71/E71/0.22)</f>
        <v>17.267426005671904</v>
      </c>
      <c r="P71" s="21">
        <f>S$1*4.5/O71</f>
        <v>0.18112137842505865</v>
      </c>
      <c r="Q71" s="19" t="s">
        <v>147</v>
      </c>
      <c r="R71" s="22">
        <f>O71*T1/S1</f>
        <v>36.0255650478047</v>
      </c>
      <c r="S71" t="s">
        <v>153</v>
      </c>
    </row>
  </sheetData>
  <sheetProtection/>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87"/>
  <sheetViews>
    <sheetView zoomScalePageLayoutView="0" workbookViewId="0" topLeftCell="A1">
      <pane ySplit="1" topLeftCell="A65" activePane="bottomLeft" state="frozen"/>
      <selection pane="topLeft" activeCell="A1" sqref="A1"/>
      <selection pane="bottomLeft" activeCell="A78" sqref="A78"/>
    </sheetView>
  </sheetViews>
  <sheetFormatPr defaultColWidth="9.140625" defaultRowHeight="12.75"/>
  <cols>
    <col min="1" max="1" width="10.140625" style="3" bestFit="1" customWidth="1"/>
    <col min="2" max="2" width="9.28125" style="1" bestFit="1" customWidth="1"/>
    <col min="3" max="3" width="9.140625" style="2" customWidth="1"/>
    <col min="4" max="4" width="10.140625" style="2" bestFit="1" customWidth="1"/>
    <col min="5" max="6" width="9.140625" style="2" customWidth="1"/>
    <col min="7" max="7" width="47.140625" style="0" customWidth="1"/>
  </cols>
  <sheetData>
    <row r="1" spans="1:7" ht="12.75">
      <c r="A1" s="3" t="s">
        <v>4</v>
      </c>
      <c r="B1" s="1" t="s">
        <v>0</v>
      </c>
      <c r="C1" s="2" t="s">
        <v>1</v>
      </c>
      <c r="D1" s="2" t="s">
        <v>6</v>
      </c>
      <c r="E1" s="2" t="s">
        <v>3</v>
      </c>
      <c r="F1" s="2" t="s">
        <v>11</v>
      </c>
      <c r="G1" t="s">
        <v>132</v>
      </c>
    </row>
    <row r="2" spans="1:7" ht="12.75">
      <c r="A2" s="3">
        <v>39658</v>
      </c>
      <c r="B2" s="1">
        <v>170400</v>
      </c>
      <c r="G2" t="s">
        <v>13</v>
      </c>
    </row>
    <row r="3" spans="1:7" ht="12.75">
      <c r="A3" s="3">
        <v>39659</v>
      </c>
      <c r="B3" s="1">
        <v>170528</v>
      </c>
      <c r="C3" s="2">
        <v>46.49</v>
      </c>
      <c r="D3" s="2">
        <f>B3-B2</f>
        <v>128</v>
      </c>
      <c r="E3" s="2">
        <f aca="true" t="shared" si="0" ref="E3:E35">(B3-B2)/C3/0.22</f>
        <v>12.514910342400123</v>
      </c>
      <c r="G3" t="s">
        <v>23</v>
      </c>
    </row>
    <row r="4" spans="1:7" ht="12.75">
      <c r="A4" s="3">
        <v>39676</v>
      </c>
      <c r="B4" s="1">
        <v>170666</v>
      </c>
      <c r="C4" s="2">
        <v>49.54</v>
      </c>
      <c r="D4" s="2">
        <f>B4-B3</f>
        <v>138</v>
      </c>
      <c r="E4" s="2">
        <f t="shared" si="0"/>
        <v>12.661944434249643</v>
      </c>
      <c r="G4" t="s">
        <v>23</v>
      </c>
    </row>
    <row r="5" spans="1:7" ht="12.75">
      <c r="A5" s="3">
        <v>39677</v>
      </c>
      <c r="B5" s="1">
        <v>170861</v>
      </c>
      <c r="C5" s="2">
        <v>41.87</v>
      </c>
      <c r="D5" s="2">
        <f>B5-B4</f>
        <v>195</v>
      </c>
      <c r="E5" s="2">
        <f t="shared" si="0"/>
        <v>21.169420500683934</v>
      </c>
      <c r="G5" t="s">
        <v>7</v>
      </c>
    </row>
    <row r="6" spans="1:7" ht="12.75">
      <c r="A6" s="3">
        <v>39683</v>
      </c>
      <c r="B6" s="1">
        <v>171000</v>
      </c>
      <c r="C6" s="2">
        <v>32.78</v>
      </c>
      <c r="D6" s="2">
        <f>B6-B5</f>
        <v>139</v>
      </c>
      <c r="E6" s="2">
        <f t="shared" si="0"/>
        <v>19.274502190914635</v>
      </c>
      <c r="F6" s="2">
        <v>19.4</v>
      </c>
      <c r="G6" t="s">
        <v>12</v>
      </c>
    </row>
    <row r="7" spans="1:8" ht="12.75">
      <c r="A7" s="3">
        <v>39685</v>
      </c>
      <c r="B7" s="1">
        <v>171200</v>
      </c>
      <c r="C7" s="2">
        <v>25.73</v>
      </c>
      <c r="D7" s="2">
        <f aca="true" t="shared" si="1" ref="D7:D35">B7-B6</f>
        <v>200</v>
      </c>
      <c r="E7" s="2">
        <f t="shared" si="0"/>
        <v>35.331943610218</v>
      </c>
      <c r="F7" s="2">
        <v>25.7</v>
      </c>
      <c r="G7" t="s">
        <v>15</v>
      </c>
      <c r="H7" t="s">
        <v>16</v>
      </c>
    </row>
    <row r="8" spans="1:7" ht="12.75">
      <c r="A8" s="3">
        <v>39689</v>
      </c>
      <c r="B8" s="1">
        <v>171323</v>
      </c>
      <c r="C8" s="2">
        <v>36.61</v>
      </c>
      <c r="D8" s="2">
        <f t="shared" si="1"/>
        <v>123</v>
      </c>
      <c r="E8" s="2">
        <f t="shared" si="0"/>
        <v>15.271535348017183</v>
      </c>
      <c r="F8" s="2">
        <v>19.3</v>
      </c>
      <c r="G8" t="s">
        <v>12</v>
      </c>
    </row>
    <row r="9" spans="1:7" ht="12.75">
      <c r="A9" s="3">
        <v>39709</v>
      </c>
      <c r="B9" s="1">
        <v>171519</v>
      </c>
      <c r="C9" s="2">
        <v>37.45</v>
      </c>
      <c r="D9" s="2">
        <f t="shared" si="1"/>
        <v>196</v>
      </c>
      <c r="E9" s="2">
        <f t="shared" si="0"/>
        <v>23.7892948173322</v>
      </c>
      <c r="F9" s="2">
        <v>24.6</v>
      </c>
      <c r="G9" t="s">
        <v>15</v>
      </c>
    </row>
    <row r="10" spans="1:8" ht="12.75">
      <c r="A10" s="3">
        <v>39713</v>
      </c>
      <c r="B10" s="1">
        <v>171760</v>
      </c>
      <c r="C10" s="2">
        <v>32.9</v>
      </c>
      <c r="D10" s="2">
        <f t="shared" si="1"/>
        <v>241</v>
      </c>
      <c r="E10" s="2">
        <f t="shared" si="0"/>
        <v>33.29649074329925</v>
      </c>
      <c r="F10" s="2">
        <v>19.5</v>
      </c>
      <c r="G10" t="s">
        <v>14</v>
      </c>
      <c r="H10" t="s">
        <v>16</v>
      </c>
    </row>
    <row r="11" spans="1:7" ht="12.75">
      <c r="A11" s="3">
        <v>39719</v>
      </c>
      <c r="B11" s="1">
        <v>171903</v>
      </c>
      <c r="C11" s="2">
        <v>50.34</v>
      </c>
      <c r="D11" s="2">
        <f t="shared" si="1"/>
        <v>143</v>
      </c>
      <c r="E11" s="2">
        <f t="shared" si="0"/>
        <v>12.912197059992053</v>
      </c>
      <c r="F11" s="2">
        <v>18.4</v>
      </c>
      <c r="G11" t="s">
        <v>17</v>
      </c>
    </row>
    <row r="12" spans="1:7" ht="12.75">
      <c r="A12" s="3">
        <v>39724</v>
      </c>
      <c r="B12" s="1">
        <v>172151</v>
      </c>
      <c r="C12" s="2">
        <v>44.58</v>
      </c>
      <c r="D12" s="2">
        <f t="shared" si="1"/>
        <v>248</v>
      </c>
      <c r="E12" s="2">
        <f t="shared" si="0"/>
        <v>25.286512500509808</v>
      </c>
      <c r="F12" s="2">
        <v>22.3</v>
      </c>
      <c r="G12" t="s">
        <v>18</v>
      </c>
    </row>
    <row r="13" spans="1:7" ht="12.75">
      <c r="A13" s="3">
        <v>39724</v>
      </c>
      <c r="B13" s="1">
        <v>172382</v>
      </c>
      <c r="C13" s="2">
        <f>60.29/1.099</f>
        <v>54.8589626933576</v>
      </c>
      <c r="D13" s="2">
        <f t="shared" si="1"/>
        <v>231</v>
      </c>
      <c r="E13" s="2">
        <f t="shared" si="0"/>
        <v>19.139990048100845</v>
      </c>
      <c r="F13" s="2">
        <v>23.2</v>
      </c>
      <c r="G13" t="s">
        <v>19</v>
      </c>
    </row>
    <row r="14" spans="1:7" ht="12.75">
      <c r="A14" s="3">
        <v>39727</v>
      </c>
      <c r="B14" s="1">
        <v>172688</v>
      </c>
      <c r="C14" s="2">
        <f>65.64/1.149</f>
        <v>57.12793733681462</v>
      </c>
      <c r="D14" s="2">
        <f t="shared" si="1"/>
        <v>306</v>
      </c>
      <c r="E14" s="2">
        <f t="shared" si="0"/>
        <v>24.347266079441585</v>
      </c>
      <c r="F14" s="2">
        <v>21.7</v>
      </c>
      <c r="G14" t="s">
        <v>19</v>
      </c>
    </row>
    <row r="15" spans="1:7" ht="12.75">
      <c r="A15" s="3">
        <v>39727</v>
      </c>
      <c r="B15" s="1">
        <v>172957</v>
      </c>
      <c r="C15" s="2">
        <f>55.83/1.089</f>
        <v>51.26721763085399</v>
      </c>
      <c r="D15" s="2">
        <f t="shared" si="1"/>
        <v>269</v>
      </c>
      <c r="E15" s="2">
        <f t="shared" si="0"/>
        <v>23.850080601826978</v>
      </c>
      <c r="F15" s="2">
        <v>24.1</v>
      </c>
      <c r="G15" t="s">
        <v>20</v>
      </c>
    </row>
    <row r="16" spans="1:8" ht="12.75">
      <c r="A16" s="3">
        <v>39733</v>
      </c>
      <c r="B16" s="1">
        <v>173113</v>
      </c>
      <c r="C16" s="2">
        <v>30.27</v>
      </c>
      <c r="D16" s="2">
        <f t="shared" si="1"/>
        <v>156</v>
      </c>
      <c r="E16" s="2">
        <f t="shared" si="0"/>
        <v>23.425533831876745</v>
      </c>
      <c r="F16" s="2">
        <v>18.4</v>
      </c>
      <c r="G16" t="s">
        <v>21</v>
      </c>
      <c r="H16" t="s">
        <v>16</v>
      </c>
    </row>
    <row r="17" spans="1:7" ht="12.75">
      <c r="A17" s="3">
        <v>39745</v>
      </c>
      <c r="B17" s="1">
        <v>173295</v>
      </c>
      <c r="C17" s="2">
        <v>42.85</v>
      </c>
      <c r="D17" s="2">
        <f t="shared" si="1"/>
        <v>182</v>
      </c>
      <c r="E17" s="2">
        <f t="shared" si="0"/>
        <v>19.30624801103214</v>
      </c>
      <c r="F17" s="2">
        <v>19.6</v>
      </c>
      <c r="G17" t="s">
        <v>21</v>
      </c>
    </row>
    <row r="18" spans="1:7" ht="12.75">
      <c r="A18" s="3">
        <v>39748</v>
      </c>
      <c r="B18" s="1">
        <v>173501</v>
      </c>
      <c r="C18" s="2">
        <v>50.82</v>
      </c>
      <c r="D18" s="2">
        <f t="shared" si="1"/>
        <v>206</v>
      </c>
      <c r="E18" s="2">
        <f t="shared" si="0"/>
        <v>18.42510106972917</v>
      </c>
      <c r="F18" s="2">
        <v>20.4</v>
      </c>
      <c r="G18" t="s">
        <v>23</v>
      </c>
    </row>
    <row r="19" spans="1:7" ht="12.75">
      <c r="A19" s="3">
        <v>39754</v>
      </c>
      <c r="B19" s="1">
        <v>173764</v>
      </c>
      <c r="C19" s="2">
        <v>68.14</v>
      </c>
      <c r="D19" s="2">
        <f t="shared" si="1"/>
        <v>263</v>
      </c>
      <c r="E19" s="2">
        <f t="shared" si="0"/>
        <v>17.544093710809296</v>
      </c>
      <c r="F19" s="2">
        <v>19.6</v>
      </c>
      <c r="G19" t="s">
        <v>21</v>
      </c>
    </row>
    <row r="20" spans="1:8" ht="12.75">
      <c r="A20" s="3">
        <v>39758</v>
      </c>
      <c r="B20" s="1">
        <v>174047</v>
      </c>
      <c r="C20" s="2">
        <v>50.44</v>
      </c>
      <c r="D20" s="2">
        <f t="shared" si="1"/>
        <v>283</v>
      </c>
      <c r="E20" s="2">
        <f t="shared" si="0"/>
        <v>25.502847667796125</v>
      </c>
      <c r="F20" s="2">
        <v>19.8</v>
      </c>
      <c r="G20" t="s">
        <v>21</v>
      </c>
      <c r="H20" t="s">
        <v>16</v>
      </c>
    </row>
    <row r="21" spans="1:7" ht="12.75">
      <c r="A21" s="3">
        <v>39766</v>
      </c>
      <c r="B21" s="1">
        <v>174247</v>
      </c>
      <c r="C21" s="2">
        <f>54.99/0.929</f>
        <v>59.192680301399356</v>
      </c>
      <c r="D21" s="2">
        <f t="shared" si="1"/>
        <v>200</v>
      </c>
      <c r="E21" s="2">
        <f t="shared" si="0"/>
        <v>15.358164294334506</v>
      </c>
      <c r="F21" s="2">
        <v>17.1</v>
      </c>
      <c r="G21" t="s">
        <v>22</v>
      </c>
    </row>
    <row r="22" spans="1:7" ht="12.75">
      <c r="A22" s="3">
        <v>39780</v>
      </c>
      <c r="B22" s="1">
        <v>174425</v>
      </c>
      <c r="C22" s="2">
        <v>58.65</v>
      </c>
      <c r="D22" s="2">
        <f t="shared" si="1"/>
        <v>178</v>
      </c>
      <c r="E22" s="2">
        <f t="shared" si="0"/>
        <v>13.795241416724792</v>
      </c>
      <c r="F22" s="2">
        <v>16.3</v>
      </c>
      <c r="G22" t="s">
        <v>22</v>
      </c>
    </row>
    <row r="23" spans="1:7" ht="12.75">
      <c r="A23" s="3">
        <v>39802</v>
      </c>
      <c r="B23" s="1">
        <v>174703</v>
      </c>
      <c r="C23" s="2">
        <v>69.53</v>
      </c>
      <c r="D23" s="2">
        <f t="shared" si="1"/>
        <v>278</v>
      </c>
      <c r="E23" s="2">
        <f t="shared" si="0"/>
        <v>18.17397330125649</v>
      </c>
      <c r="F23" s="2">
        <v>17.8</v>
      </c>
      <c r="G23" t="s">
        <v>24</v>
      </c>
    </row>
    <row r="24" spans="1:8" ht="12.75">
      <c r="A24" s="3">
        <v>39824</v>
      </c>
      <c r="B24" s="1">
        <f>175119-148</f>
        <v>174971</v>
      </c>
      <c r="D24" s="2">
        <f t="shared" si="1"/>
        <v>268</v>
      </c>
      <c r="E24" s="2" t="e">
        <f t="shared" si="0"/>
        <v>#DIV/0!</v>
      </c>
      <c r="G24" t="s">
        <v>28</v>
      </c>
      <c r="H24" t="s">
        <v>26</v>
      </c>
    </row>
    <row r="25" spans="1:7" ht="12.75">
      <c r="A25" s="3">
        <v>39831</v>
      </c>
      <c r="B25" s="1">
        <v>175244</v>
      </c>
      <c r="C25" s="2">
        <v>55.3</v>
      </c>
      <c r="D25" s="2">
        <f t="shared" si="1"/>
        <v>273</v>
      </c>
      <c r="E25" s="2">
        <f t="shared" si="0"/>
        <v>22.439585730724975</v>
      </c>
      <c r="F25" s="2">
        <v>20.4</v>
      </c>
      <c r="G25" t="s">
        <v>27</v>
      </c>
    </row>
    <row r="26" spans="1:8" ht="12.75">
      <c r="A26" s="3">
        <v>39838</v>
      </c>
      <c r="B26" s="1">
        <v>175480</v>
      </c>
      <c r="D26" s="2">
        <f t="shared" si="1"/>
        <v>236</v>
      </c>
      <c r="E26" s="2" t="e">
        <f t="shared" si="0"/>
        <v>#DIV/0!</v>
      </c>
      <c r="F26" s="2">
        <v>19.4</v>
      </c>
      <c r="G26" t="s">
        <v>29</v>
      </c>
      <c r="H26" t="s">
        <v>26</v>
      </c>
    </row>
    <row r="27" spans="1:7" ht="12.75">
      <c r="A27" s="3">
        <v>39864</v>
      </c>
      <c r="B27" s="1">
        <v>175692</v>
      </c>
      <c r="C27" s="2">
        <v>64.92</v>
      </c>
      <c r="D27" s="2">
        <f t="shared" si="1"/>
        <v>212</v>
      </c>
      <c r="E27" s="2">
        <f t="shared" si="0"/>
        <v>14.843443678933513</v>
      </c>
      <c r="F27" s="2">
        <v>18.5</v>
      </c>
      <c r="G27" t="s">
        <v>30</v>
      </c>
    </row>
    <row r="28" spans="1:7" ht="12.75">
      <c r="A28" s="3">
        <v>39871</v>
      </c>
      <c r="B28" s="1">
        <v>175918</v>
      </c>
      <c r="C28" s="2">
        <v>46.82</v>
      </c>
      <c r="D28" s="2">
        <f t="shared" si="1"/>
        <v>226</v>
      </c>
      <c r="E28" s="2">
        <f t="shared" si="0"/>
        <v>21.940895499203915</v>
      </c>
      <c r="F28" s="2">
        <v>21.6</v>
      </c>
      <c r="G28" t="s">
        <v>30</v>
      </c>
    </row>
    <row r="29" spans="1:7" ht="12.75">
      <c r="A29" s="3">
        <v>39874</v>
      </c>
      <c r="B29" s="1">
        <v>176233</v>
      </c>
      <c r="C29" s="2">
        <v>58.61</v>
      </c>
      <c r="D29" s="2">
        <f t="shared" si="1"/>
        <v>315</v>
      </c>
      <c r="E29" s="2">
        <f t="shared" si="0"/>
        <v>24.42958849715376</v>
      </c>
      <c r="F29" s="2">
        <v>24.1</v>
      </c>
      <c r="G29" t="s">
        <v>31</v>
      </c>
    </row>
    <row r="30" spans="1:7" ht="12.75">
      <c r="A30" s="3">
        <v>39914</v>
      </c>
      <c r="B30" s="1">
        <v>176520</v>
      </c>
      <c r="C30" s="2">
        <v>57.68</v>
      </c>
      <c r="D30" s="2">
        <f t="shared" si="1"/>
        <v>287</v>
      </c>
      <c r="E30" s="2">
        <f t="shared" si="0"/>
        <v>22.616946160635482</v>
      </c>
      <c r="F30" s="2">
        <v>21</v>
      </c>
      <c r="G30" t="s">
        <v>33</v>
      </c>
    </row>
    <row r="31" spans="4:5" ht="12.75">
      <c r="D31" s="2">
        <f t="shared" si="1"/>
        <v>-176520</v>
      </c>
      <c r="E31" s="2" t="e">
        <f t="shared" si="0"/>
        <v>#DIV/0!</v>
      </c>
    </row>
    <row r="32" spans="1:7" ht="12.75">
      <c r="A32" s="3">
        <v>39941</v>
      </c>
      <c r="B32" s="1">
        <v>177134</v>
      </c>
      <c r="C32" s="2">
        <v>55.92</v>
      </c>
      <c r="D32" s="2">
        <f t="shared" si="1"/>
        <v>177134</v>
      </c>
      <c r="E32" s="2">
        <f t="shared" si="0"/>
        <v>14398.32878137599</v>
      </c>
      <c r="F32" s="2">
        <v>21.7</v>
      </c>
      <c r="G32" t="s">
        <v>34</v>
      </c>
    </row>
    <row r="33" spans="1:7" ht="12.75">
      <c r="A33" s="3">
        <v>39979</v>
      </c>
      <c r="B33" s="1">
        <v>177444</v>
      </c>
      <c r="C33" s="2">
        <v>66.2</v>
      </c>
      <c r="D33" s="2">
        <f t="shared" si="1"/>
        <v>310</v>
      </c>
      <c r="E33" s="2">
        <f t="shared" si="0"/>
        <v>21.285361164515244</v>
      </c>
      <c r="F33" s="2">
        <v>20.8</v>
      </c>
      <c r="G33" t="s">
        <v>34</v>
      </c>
    </row>
    <row r="34" spans="1:7" ht="12.75">
      <c r="A34" s="3">
        <v>40009</v>
      </c>
      <c r="B34" s="1">
        <v>177640</v>
      </c>
      <c r="C34" s="2">
        <f>52.25/1.05</f>
        <v>49.76190476190476</v>
      </c>
      <c r="D34" s="2">
        <f t="shared" si="1"/>
        <v>196</v>
      </c>
      <c r="E34" s="2">
        <f t="shared" si="0"/>
        <v>17.90343627664202</v>
      </c>
      <c r="F34" s="2">
        <v>17.2</v>
      </c>
      <c r="G34" t="s">
        <v>23</v>
      </c>
    </row>
    <row r="35" spans="1:7" ht="12.75">
      <c r="A35" s="3">
        <v>40026</v>
      </c>
      <c r="B35" s="1">
        <v>177945</v>
      </c>
      <c r="C35" s="2">
        <v>64.13</v>
      </c>
      <c r="D35" s="2">
        <f t="shared" si="1"/>
        <v>305</v>
      </c>
      <c r="E35" s="2">
        <f t="shared" si="0"/>
        <v>21.61802021462087</v>
      </c>
      <c r="F35" s="2">
        <v>21.2</v>
      </c>
      <c r="G35" t="s">
        <v>34</v>
      </c>
    </row>
    <row r="36" spans="1:7" ht="12.75">
      <c r="A36" s="3">
        <v>40042</v>
      </c>
      <c r="B36" s="1">
        <v>178246</v>
      </c>
      <c r="C36" s="2">
        <v>62.04</v>
      </c>
      <c r="D36" s="2">
        <f>B36-B35</f>
        <v>301</v>
      </c>
      <c r="E36" s="2">
        <f>(B36-B35)/C36/0.22</f>
        <v>22.053220795967412</v>
      </c>
      <c r="F36" s="2">
        <v>20.8</v>
      </c>
      <c r="G36" t="s">
        <v>34</v>
      </c>
    </row>
    <row r="37" spans="1:7" ht="12.75">
      <c r="A37" s="3">
        <v>40056</v>
      </c>
      <c r="B37" s="1">
        <v>178490</v>
      </c>
      <c r="C37" s="2">
        <v>51.99</v>
      </c>
      <c r="D37" s="2">
        <f>B37-B36</f>
        <v>244</v>
      </c>
      <c r="E37" s="2">
        <f>(B37-B36)/C37/0.22</f>
        <v>21.332773785168477</v>
      </c>
      <c r="F37" s="2">
        <v>21.1</v>
      </c>
      <c r="G37" t="s">
        <v>34</v>
      </c>
    </row>
    <row r="38" spans="1:8" ht="12.75">
      <c r="A38" s="3">
        <v>40044</v>
      </c>
      <c r="B38" s="1">
        <v>178817</v>
      </c>
      <c r="C38" s="2">
        <v>48.5</v>
      </c>
      <c r="D38" s="2">
        <f>B38-B37</f>
        <v>327</v>
      </c>
      <c r="E38" s="2">
        <f>(B38-B37)/C38/0.22</f>
        <v>30.646672914714152</v>
      </c>
      <c r="F38" s="2">
        <v>22.8</v>
      </c>
      <c r="G38" t="s">
        <v>35</v>
      </c>
      <c r="H38" t="s">
        <v>16</v>
      </c>
    </row>
    <row r="39" spans="1:7" ht="12.75">
      <c r="A39" s="3">
        <v>40081</v>
      </c>
      <c r="B39" s="1">
        <v>179027</v>
      </c>
      <c r="C39" s="2">
        <v>62.06</v>
      </c>
      <c r="D39" s="2">
        <f>B39-B38</f>
        <v>210</v>
      </c>
      <c r="E39" s="2">
        <f>(B39-B38)/C39/0.22</f>
        <v>15.38100958017168</v>
      </c>
      <c r="F39" s="2">
        <v>20.3</v>
      </c>
      <c r="G39" t="s">
        <v>34</v>
      </c>
    </row>
    <row r="40" spans="1:8" ht="12.75">
      <c r="A40" s="3">
        <v>40102</v>
      </c>
      <c r="B40" s="1">
        <v>179339</v>
      </c>
      <c r="C40" s="2">
        <v>54.65</v>
      </c>
      <c r="D40" s="2">
        <f>B40-B39</f>
        <v>312</v>
      </c>
      <c r="E40" s="2">
        <f>(B40-B39)/C40/0.22</f>
        <v>25.95026199783748</v>
      </c>
      <c r="F40" s="2">
        <v>21.7</v>
      </c>
      <c r="G40" t="s">
        <v>34</v>
      </c>
      <c r="H40" t="s">
        <v>16</v>
      </c>
    </row>
    <row r="41" spans="1:6" ht="12.75">
      <c r="A41" s="3">
        <v>40122</v>
      </c>
      <c r="B41" s="1">
        <v>179632</v>
      </c>
      <c r="C41" s="2">
        <v>67.82</v>
      </c>
      <c r="D41" s="2">
        <f aca="true" t="shared" si="2" ref="D41:D52">B41-B40</f>
        <v>293</v>
      </c>
      <c r="E41" s="2">
        <f aca="true" t="shared" si="3" ref="E41:E57">(B41-B40)/C41/0.22</f>
        <v>19.637543229404038</v>
      </c>
      <c r="F41" s="2">
        <v>22.9</v>
      </c>
    </row>
    <row r="42" spans="1:6" ht="12.75">
      <c r="A42" s="3">
        <v>40132</v>
      </c>
      <c r="B42" s="1">
        <v>179948</v>
      </c>
      <c r="C42" s="2">
        <v>66.49</v>
      </c>
      <c r="D42" s="2">
        <f t="shared" si="2"/>
        <v>316</v>
      </c>
      <c r="E42" s="2">
        <f t="shared" si="3"/>
        <v>21.602701704972727</v>
      </c>
      <c r="F42" s="2">
        <v>21.5</v>
      </c>
    </row>
    <row r="43" spans="1:6" ht="12.75">
      <c r="A43" s="3">
        <v>40146</v>
      </c>
      <c r="B43" s="1">
        <v>180209</v>
      </c>
      <c r="C43" s="2">
        <v>58.92</v>
      </c>
      <c r="D43" s="2">
        <f t="shared" si="2"/>
        <v>261</v>
      </c>
      <c r="E43" s="2">
        <f t="shared" si="3"/>
        <v>20.135160155526755</v>
      </c>
      <c r="F43" s="2">
        <v>20</v>
      </c>
    </row>
    <row r="44" spans="1:7" ht="12.75">
      <c r="A44" s="3">
        <v>40160</v>
      </c>
      <c r="B44" s="1">
        <v>180522</v>
      </c>
      <c r="C44" s="2">
        <f>71.67/1.119</f>
        <v>64.04825737265416</v>
      </c>
      <c r="D44" s="2">
        <f t="shared" si="2"/>
        <v>313</v>
      </c>
      <c r="E44" s="2">
        <f t="shared" si="3"/>
        <v>22.213364283268007</v>
      </c>
      <c r="F44" s="2">
        <v>21.8</v>
      </c>
      <c r="G44" t="s">
        <v>36</v>
      </c>
    </row>
    <row r="45" spans="1:7" ht="12.75">
      <c r="A45" s="3">
        <v>40167</v>
      </c>
      <c r="B45" s="1">
        <v>180849</v>
      </c>
      <c r="C45" s="2">
        <v>64.52</v>
      </c>
      <c r="D45" s="2">
        <f t="shared" si="2"/>
        <v>327</v>
      </c>
      <c r="E45" s="2">
        <f t="shared" si="3"/>
        <v>23.03725412838866</v>
      </c>
      <c r="F45" s="2">
        <v>22.8</v>
      </c>
      <c r="G45" t="s">
        <v>36</v>
      </c>
    </row>
    <row r="46" spans="1:7" ht="12.75">
      <c r="A46" s="3">
        <v>40171</v>
      </c>
      <c r="B46" s="1">
        <v>180943</v>
      </c>
      <c r="C46" s="2">
        <v>22.24</v>
      </c>
      <c r="D46" s="2">
        <f t="shared" si="2"/>
        <v>94</v>
      </c>
      <c r="E46" s="2">
        <f t="shared" si="3"/>
        <v>19.21190320470896</v>
      </c>
      <c r="F46" s="2">
        <v>21.9</v>
      </c>
      <c r="G46" t="s">
        <v>21</v>
      </c>
    </row>
    <row r="47" spans="1:7" ht="12.75">
      <c r="A47" s="3">
        <v>40198</v>
      </c>
      <c r="B47" s="1">
        <v>181266</v>
      </c>
      <c r="C47" s="2">
        <v>62.1</v>
      </c>
      <c r="D47" s="2">
        <f t="shared" si="2"/>
        <v>323</v>
      </c>
      <c r="E47" s="2">
        <f t="shared" si="3"/>
        <v>23.642219294393207</v>
      </c>
      <c r="F47" s="2">
        <v>21.1</v>
      </c>
      <c r="G47" t="s">
        <v>21</v>
      </c>
    </row>
    <row r="48" spans="1:7" ht="12.75">
      <c r="A48" s="3">
        <v>40212</v>
      </c>
      <c r="B48" s="1">
        <v>181499</v>
      </c>
      <c r="C48" s="2">
        <v>63.43</v>
      </c>
      <c r="D48" s="2">
        <f t="shared" si="2"/>
        <v>233</v>
      </c>
      <c r="E48" s="2">
        <f t="shared" si="3"/>
        <v>16.697003138749945</v>
      </c>
      <c r="F48" s="2">
        <v>16.6</v>
      </c>
      <c r="G48" t="s">
        <v>37</v>
      </c>
    </row>
    <row r="49" spans="1:8" ht="12.75">
      <c r="A49" s="3">
        <v>40239</v>
      </c>
      <c r="B49" s="1">
        <v>181717</v>
      </c>
      <c r="C49" s="2">
        <v>56.47</v>
      </c>
      <c r="D49" s="2">
        <f t="shared" si="2"/>
        <v>218</v>
      </c>
      <c r="E49" s="2">
        <f t="shared" si="3"/>
        <v>17.547531271632565</v>
      </c>
      <c r="F49" s="2">
        <v>15.8</v>
      </c>
      <c r="G49" t="s">
        <v>38</v>
      </c>
      <c r="H49" t="s">
        <v>39</v>
      </c>
    </row>
    <row r="50" spans="1:7" ht="12.75">
      <c r="A50" s="3">
        <v>40245</v>
      </c>
      <c r="B50" s="1">
        <v>181974</v>
      </c>
      <c r="C50" s="2">
        <v>58.17</v>
      </c>
      <c r="D50" s="2">
        <f t="shared" si="2"/>
        <v>257</v>
      </c>
      <c r="E50" s="2">
        <f t="shared" si="3"/>
        <v>20.082204197727663</v>
      </c>
      <c r="F50" s="2">
        <v>20.7</v>
      </c>
      <c r="G50" t="s">
        <v>40</v>
      </c>
    </row>
    <row r="51" spans="1:7" ht="12.75">
      <c r="A51" s="3">
        <v>40257</v>
      </c>
      <c r="B51" s="1">
        <v>182238</v>
      </c>
      <c r="C51" s="2">
        <v>59.01</v>
      </c>
      <c r="D51" s="2">
        <f t="shared" si="2"/>
        <v>264</v>
      </c>
      <c r="E51" s="2">
        <f t="shared" si="3"/>
        <v>20.33553634977123</v>
      </c>
      <c r="F51" s="2">
        <v>20.3</v>
      </c>
      <c r="G51" t="s">
        <v>36</v>
      </c>
    </row>
    <row r="52" spans="1:6" ht="12.75">
      <c r="A52" s="3">
        <v>40273</v>
      </c>
      <c r="B52" s="1">
        <v>182505</v>
      </c>
      <c r="C52" s="2">
        <v>58.29</v>
      </c>
      <c r="D52" s="2">
        <f t="shared" si="2"/>
        <v>267</v>
      </c>
      <c r="E52" s="2">
        <f t="shared" si="3"/>
        <v>20.82066158237028</v>
      </c>
      <c r="F52" s="2">
        <v>21.1</v>
      </c>
    </row>
    <row r="53" spans="1:6" ht="12.75">
      <c r="A53" s="3">
        <v>40302</v>
      </c>
      <c r="B53" s="1">
        <v>182798</v>
      </c>
      <c r="C53" s="2">
        <f>64.23/1.219</f>
        <v>52.69073010664479</v>
      </c>
      <c r="D53" s="2">
        <f>B53-B52</f>
        <v>293</v>
      </c>
      <c r="E53" s="2">
        <f t="shared" si="3"/>
        <v>25.276138309767454</v>
      </c>
      <c r="F53" s="2">
        <v>21.1</v>
      </c>
    </row>
    <row r="54" spans="1:6" ht="12.75">
      <c r="A54" s="3">
        <v>40321</v>
      </c>
      <c r="B54" s="1">
        <v>183022</v>
      </c>
      <c r="C54" s="2">
        <v>61.79</v>
      </c>
      <c r="D54" s="2">
        <v>224</v>
      </c>
      <c r="E54" s="2">
        <f t="shared" si="3"/>
        <v>16.47810031043564</v>
      </c>
      <c r="F54" s="2">
        <v>19.9</v>
      </c>
    </row>
    <row r="55" spans="1:6" ht="12.75">
      <c r="A55" s="3">
        <v>40361</v>
      </c>
      <c r="B55" s="1">
        <v>183304</v>
      </c>
      <c r="C55" s="2">
        <v>50.91</v>
      </c>
      <c r="D55" s="2">
        <v>282</v>
      </c>
      <c r="E55" s="2">
        <f t="shared" si="3"/>
        <v>25.178121819253228</v>
      </c>
      <c r="F55" s="2">
        <v>19.9</v>
      </c>
    </row>
    <row r="56" spans="1:7" ht="12.75">
      <c r="A56" s="3">
        <v>40372</v>
      </c>
      <c r="B56" s="1">
        <f>B55+243.6</f>
        <v>183547.6</v>
      </c>
      <c r="C56" s="2">
        <v>68.74</v>
      </c>
      <c r="D56" s="2">
        <f aca="true" t="shared" si="4" ref="D56:D61">B56-B55</f>
        <v>243.60000000000582</v>
      </c>
      <c r="E56" s="2">
        <f t="shared" si="3"/>
        <v>16.10812812442179</v>
      </c>
      <c r="F56" s="2">
        <v>20.5</v>
      </c>
      <c r="G56" t="s">
        <v>42</v>
      </c>
    </row>
    <row r="57" spans="1:7" ht="12.75">
      <c r="A57" s="3">
        <v>40392</v>
      </c>
      <c r="B57" s="1">
        <v>183910</v>
      </c>
      <c r="C57" s="2">
        <v>68.76</v>
      </c>
      <c r="D57" s="2">
        <f t="shared" si="4"/>
        <v>362.3999999999942</v>
      </c>
      <c r="E57" s="2">
        <f t="shared" si="3"/>
        <v>23.956845946374354</v>
      </c>
      <c r="F57" s="2">
        <v>23.7</v>
      </c>
      <c r="G57" t="s">
        <v>43</v>
      </c>
    </row>
    <row r="58" spans="1:7" ht="12.75">
      <c r="A58" s="3">
        <v>40404</v>
      </c>
      <c r="B58" s="1">
        <v>184146</v>
      </c>
      <c r="C58" s="2">
        <v>46.44</v>
      </c>
      <c r="D58" s="2">
        <f t="shared" si="4"/>
        <v>236</v>
      </c>
      <c r="E58" s="2">
        <f>(B58-B57)/C58/0.22</f>
        <v>23.099209145720774</v>
      </c>
      <c r="F58" s="2">
        <v>21.3</v>
      </c>
      <c r="G58" t="s">
        <v>43</v>
      </c>
    </row>
    <row r="59" spans="1:7" ht="12.75">
      <c r="A59" s="3">
        <v>40418</v>
      </c>
      <c r="B59" s="1">
        <v>184505</v>
      </c>
      <c r="C59" s="2">
        <v>64.38</v>
      </c>
      <c r="D59" s="2">
        <f t="shared" si="4"/>
        <v>359</v>
      </c>
      <c r="E59" s="2">
        <f>(B59-B58)/C59/0.22</f>
        <v>25.34666327769776</v>
      </c>
      <c r="G59" t="s">
        <v>43</v>
      </c>
    </row>
    <row r="60" spans="1:6" ht="12.75">
      <c r="A60" s="3">
        <v>40424</v>
      </c>
      <c r="B60" s="1">
        <v>184973</v>
      </c>
      <c r="C60" s="2">
        <v>66.98</v>
      </c>
      <c r="D60" s="2">
        <f t="shared" si="4"/>
        <v>468</v>
      </c>
      <c r="E60" s="2">
        <f>(B60-B59)/C60/0.22</f>
        <v>31.759819756236595</v>
      </c>
      <c r="F60" s="2">
        <v>19.9</v>
      </c>
    </row>
    <row r="61" spans="1:7" ht="12.75">
      <c r="A61" s="3">
        <v>40427</v>
      </c>
      <c r="B61" s="1">
        <v>185121</v>
      </c>
      <c r="C61" s="2">
        <v>53.47</v>
      </c>
      <c r="D61" s="2">
        <f t="shared" si="4"/>
        <v>148</v>
      </c>
      <c r="E61" s="2">
        <f>(B61-B60)/C61/0.22</f>
        <v>12.581396535015386</v>
      </c>
      <c r="F61" s="2">
        <v>21.8</v>
      </c>
      <c r="G61" t="s">
        <v>44</v>
      </c>
    </row>
    <row r="62" spans="1:7" ht="12.75">
      <c r="A62" s="3">
        <v>40434</v>
      </c>
      <c r="B62" s="1">
        <v>185350</v>
      </c>
      <c r="C62" s="2">
        <v>67.48</v>
      </c>
      <c r="D62" s="2">
        <f aca="true" t="shared" si="5" ref="D62:D70">B62-B61</f>
        <v>229</v>
      </c>
      <c r="E62" s="2">
        <f>(B62-B61)/C62/0.22</f>
        <v>15.425445923371234</v>
      </c>
      <c r="F62" s="2">
        <v>19.8</v>
      </c>
      <c r="G62" t="s">
        <v>45</v>
      </c>
    </row>
    <row r="63" spans="4:7" ht="12.75">
      <c r="D63" s="2">
        <f t="shared" si="5"/>
        <v>-185350</v>
      </c>
      <c r="G63" s="15" t="s">
        <v>52</v>
      </c>
    </row>
    <row r="64" spans="1:7" ht="12.75">
      <c r="A64" s="3" t="s">
        <v>68</v>
      </c>
      <c r="B64" s="1">
        <v>187392</v>
      </c>
      <c r="C64" s="2" t="s">
        <v>23</v>
      </c>
      <c r="D64" s="2">
        <f t="shared" si="5"/>
        <v>187392</v>
      </c>
      <c r="G64" t="s">
        <v>69</v>
      </c>
    </row>
    <row r="65" spans="1:6" ht="12.75">
      <c r="A65" s="3">
        <v>40595</v>
      </c>
      <c r="B65" s="1">
        <v>188904</v>
      </c>
      <c r="C65" s="2">
        <v>68.77</v>
      </c>
      <c r="D65" s="2">
        <f t="shared" si="5"/>
        <v>1512</v>
      </c>
      <c r="F65" s="2" t="s">
        <v>78</v>
      </c>
    </row>
    <row r="66" ht="12.75">
      <c r="D66" s="2">
        <f t="shared" si="5"/>
        <v>-188904</v>
      </c>
    </row>
    <row r="67" spans="1:4" ht="12.75">
      <c r="A67" s="3">
        <v>40720</v>
      </c>
      <c r="B67" s="1">
        <v>190871</v>
      </c>
      <c r="C67" s="2">
        <v>17.65</v>
      </c>
      <c r="D67" s="2">
        <f t="shared" si="5"/>
        <v>190871</v>
      </c>
    </row>
    <row r="68" spans="1:7" ht="12.75">
      <c r="A68" s="3">
        <v>40922</v>
      </c>
      <c r="B68" s="1">
        <f>191258-223-5</f>
        <v>191030</v>
      </c>
      <c r="C68" s="2">
        <f>63.29+(10/1.33)</f>
        <v>70.8087969924812</v>
      </c>
      <c r="D68" s="2">
        <f t="shared" si="5"/>
        <v>159</v>
      </c>
      <c r="G68" t="s">
        <v>95</v>
      </c>
    </row>
    <row r="69" spans="1:4" ht="12.75">
      <c r="A69" s="3">
        <v>40973</v>
      </c>
      <c r="B69" s="1">
        <v>192602</v>
      </c>
      <c r="C69" s="2">
        <v>57.38</v>
      </c>
      <c r="D69" s="2">
        <f t="shared" si="5"/>
        <v>1572</v>
      </c>
    </row>
    <row r="70" spans="1:4" ht="12.75">
      <c r="A70" s="3">
        <v>40997</v>
      </c>
      <c r="B70" s="1">
        <v>193877</v>
      </c>
      <c r="C70" s="2">
        <v>53.11</v>
      </c>
      <c r="D70" s="2">
        <f t="shared" si="5"/>
        <v>1275</v>
      </c>
    </row>
    <row r="71" spans="1:4" ht="12.75">
      <c r="A71" s="3">
        <v>41023</v>
      </c>
      <c r="B71" s="1">
        <v>196097</v>
      </c>
      <c r="C71" s="2">
        <v>36.51</v>
      </c>
      <c r="D71" s="2">
        <f aca="true" t="shared" si="6" ref="D71:D76">B71-B70</f>
        <v>2220</v>
      </c>
    </row>
    <row r="72" spans="1:4" ht="12.75">
      <c r="A72" s="3">
        <v>41194</v>
      </c>
      <c r="B72" s="1">
        <v>197066</v>
      </c>
      <c r="C72" s="2">
        <v>64.42</v>
      </c>
      <c r="D72" s="2">
        <f t="shared" si="6"/>
        <v>969</v>
      </c>
    </row>
    <row r="73" spans="1:7" ht="12.75">
      <c r="A73" s="3">
        <v>41195</v>
      </c>
      <c r="B73" s="1">
        <v>197165</v>
      </c>
      <c r="C73" s="2">
        <v>15.14</v>
      </c>
      <c r="D73" s="2">
        <f t="shared" si="6"/>
        <v>99</v>
      </c>
      <c r="E73" s="2">
        <f aca="true" t="shared" si="7" ref="E73:E80">D73/C73/0.22</f>
        <v>29.722589167767506</v>
      </c>
      <c r="G73" t="s">
        <v>122</v>
      </c>
    </row>
    <row r="74" spans="1:7" ht="12.75">
      <c r="A74" s="3">
        <v>41200</v>
      </c>
      <c r="B74" s="1">
        <v>197240</v>
      </c>
      <c r="C74" s="2">
        <v>15.72</v>
      </c>
      <c r="D74" s="2">
        <f t="shared" si="6"/>
        <v>75</v>
      </c>
      <c r="E74" s="2">
        <f t="shared" si="7"/>
        <v>21.68632893823733</v>
      </c>
      <c r="G74" t="s">
        <v>125</v>
      </c>
    </row>
    <row r="75" spans="1:7" ht="12.75">
      <c r="A75" s="3">
        <v>41354</v>
      </c>
      <c r="B75" s="1">
        <v>198150</v>
      </c>
      <c r="C75" s="2">
        <v>48.38</v>
      </c>
      <c r="D75" s="2">
        <f t="shared" si="6"/>
        <v>910</v>
      </c>
      <c r="E75" s="2">
        <f t="shared" si="7"/>
        <v>85.49738810177007</v>
      </c>
      <c r="G75" t="s">
        <v>131</v>
      </c>
    </row>
    <row r="76" spans="1:7" ht="12.75">
      <c r="A76" s="3">
        <v>41355</v>
      </c>
      <c r="B76" s="1">
        <v>198304</v>
      </c>
      <c r="C76" s="2">
        <v>39.82</v>
      </c>
      <c r="D76" s="2">
        <f t="shared" si="6"/>
        <v>154</v>
      </c>
      <c r="E76" s="2">
        <f t="shared" si="7"/>
        <v>17.57910597689603</v>
      </c>
      <c r="G76" t="s">
        <v>133</v>
      </c>
    </row>
    <row r="77" spans="1:7" ht="12.75">
      <c r="A77" s="3">
        <v>41355</v>
      </c>
      <c r="B77" s="1">
        <v>198360</v>
      </c>
      <c r="C77" s="2">
        <v>8.58</v>
      </c>
      <c r="D77" s="2">
        <f>B77-B76</f>
        <v>56</v>
      </c>
      <c r="E77" s="2">
        <f t="shared" si="7"/>
        <v>29.667302394575124</v>
      </c>
      <c r="G77" t="s">
        <v>134</v>
      </c>
    </row>
    <row r="78" spans="1:7" ht="12.75">
      <c r="A78" s="3">
        <v>41360</v>
      </c>
      <c r="B78" s="1">
        <v>198568</v>
      </c>
      <c r="C78" s="2">
        <v>52.24</v>
      </c>
      <c r="D78" s="2">
        <f>B78-B77</f>
        <v>208</v>
      </c>
      <c r="E78" s="2">
        <f t="shared" si="7"/>
        <v>18.098287623555617</v>
      </c>
      <c r="F78" s="2">
        <v>19.1</v>
      </c>
      <c r="G78" t="s">
        <v>138</v>
      </c>
    </row>
    <row r="79" spans="1:5" ht="12.75">
      <c r="A79" s="3">
        <v>41479</v>
      </c>
      <c r="B79" s="1">
        <v>199415</v>
      </c>
      <c r="C79" s="2">
        <v>55.03</v>
      </c>
      <c r="D79" s="2">
        <f>B79-B78</f>
        <v>847</v>
      </c>
      <c r="E79" s="2">
        <f t="shared" si="7"/>
        <v>69.96183899691077</v>
      </c>
    </row>
    <row r="80" spans="4:5" ht="12.75">
      <c r="D80" s="2">
        <f>B80-B79</f>
        <v>-199415</v>
      </c>
      <c r="E80" s="2" t="e">
        <f t="shared" si="7"/>
        <v>#DIV/0!</v>
      </c>
    </row>
    <row r="83" spans="1:3" ht="12.75">
      <c r="A83" s="3">
        <v>41100</v>
      </c>
      <c r="B83" s="1">
        <f>B86</f>
        <v>197022</v>
      </c>
      <c r="C83" s="12" t="s">
        <v>139</v>
      </c>
    </row>
    <row r="84" ht="12.75">
      <c r="B84" s="1">
        <f>B83+6000</f>
        <v>203022</v>
      </c>
    </row>
    <row r="85" ht="12.75">
      <c r="C85" s="12"/>
    </row>
    <row r="86" spans="1:3" ht="12.75">
      <c r="A86" s="3">
        <v>41100</v>
      </c>
      <c r="B86" s="1">
        <v>197022</v>
      </c>
      <c r="C86" s="12" t="s">
        <v>136</v>
      </c>
    </row>
    <row r="87" spans="1:3" ht="12.75">
      <c r="A87" s="3">
        <v>40419</v>
      </c>
      <c r="B87" s="1">
        <v>16760</v>
      </c>
      <c r="C87" s="12" t="s">
        <v>137</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7"/>
  <sheetViews>
    <sheetView zoomScalePageLayoutView="0" workbookViewId="0" topLeftCell="A1">
      <pane ySplit="1" topLeftCell="A29" activePane="bottomLeft" state="frozen"/>
      <selection pane="topLeft" activeCell="A1" sqref="A1"/>
      <selection pane="bottomLeft" activeCell="C34" sqref="C34"/>
    </sheetView>
  </sheetViews>
  <sheetFormatPr defaultColWidth="9.140625" defaultRowHeight="12.75"/>
  <cols>
    <col min="1" max="1" width="10.140625" style="7" bestFit="1" customWidth="1"/>
    <col min="2" max="2" width="8.57421875" style="11" bestFit="1" customWidth="1"/>
    <col min="3" max="3" width="90.7109375" style="8" customWidth="1"/>
    <col min="4" max="16384" width="9.140625" style="9" customWidth="1"/>
  </cols>
  <sheetData>
    <row r="1" spans="1:3" s="6" customFormat="1" ht="12.75">
      <c r="A1" s="4" t="s">
        <v>4</v>
      </c>
      <c r="B1" s="10" t="s">
        <v>0</v>
      </c>
      <c r="C1" s="5" t="s">
        <v>5</v>
      </c>
    </row>
    <row r="2" spans="1:3" ht="12.75">
      <c r="A2" s="7">
        <v>39657</v>
      </c>
      <c r="B2" s="11" t="s">
        <v>9</v>
      </c>
      <c r="C2" s="8" t="s">
        <v>8</v>
      </c>
    </row>
    <row r="3" spans="1:3" ht="12.75">
      <c r="A3" s="7">
        <v>39679</v>
      </c>
      <c r="C3" s="8" t="s">
        <v>10</v>
      </c>
    </row>
    <row r="4" spans="1:3" ht="12.75">
      <c r="A4" s="7">
        <v>39827</v>
      </c>
      <c r="B4" s="11">
        <v>175119</v>
      </c>
      <c r="C4" s="8" t="s">
        <v>25</v>
      </c>
    </row>
    <row r="5" spans="1:3" ht="25.5">
      <c r="A5" s="7">
        <v>39875</v>
      </c>
      <c r="B5" s="11">
        <v>176280</v>
      </c>
      <c r="C5" s="8" t="s">
        <v>32</v>
      </c>
    </row>
    <row r="6" spans="1:3" ht="25.5">
      <c r="A6" s="7">
        <v>40205</v>
      </c>
      <c r="B6" s="11">
        <v>181445</v>
      </c>
      <c r="C6" s="8" t="s">
        <v>154</v>
      </c>
    </row>
    <row r="7" spans="1:3" ht="12.75">
      <c r="A7" s="7">
        <v>40239</v>
      </c>
      <c r="B7" s="11">
        <v>181712</v>
      </c>
      <c r="C7" s="8" t="s">
        <v>62</v>
      </c>
    </row>
    <row r="8" spans="1:3" ht="12.75">
      <c r="A8" s="7">
        <v>40365</v>
      </c>
      <c r="C8" s="8" t="s">
        <v>41</v>
      </c>
    </row>
    <row r="9" spans="1:3" ht="63.75">
      <c r="A9" s="7">
        <v>40434</v>
      </c>
      <c r="B9" s="11">
        <v>185354</v>
      </c>
      <c r="C9" s="8" t="s">
        <v>65</v>
      </c>
    </row>
    <row r="10" ht="38.25">
      <c r="C10" s="8" t="s">
        <v>51</v>
      </c>
    </row>
    <row r="11" spans="1:3" ht="12.75">
      <c r="A11" s="7">
        <v>40469</v>
      </c>
      <c r="B11" s="11">
        <v>186900</v>
      </c>
      <c r="C11" s="8" t="s">
        <v>63</v>
      </c>
    </row>
    <row r="12" spans="1:3" ht="38.25">
      <c r="A12" s="7">
        <v>40487</v>
      </c>
      <c r="B12" s="11">
        <v>187127</v>
      </c>
      <c r="C12" s="8" t="s">
        <v>70</v>
      </c>
    </row>
    <row r="13" spans="1:3" ht="51">
      <c r="A13" s="7">
        <v>40596</v>
      </c>
      <c r="B13" s="11">
        <v>188900</v>
      </c>
      <c r="C13" s="8" t="s">
        <v>155</v>
      </c>
    </row>
    <row r="14" ht="12.75">
      <c r="C14" s="8" t="s">
        <v>79</v>
      </c>
    </row>
    <row r="15" spans="1:3" ht="12.75">
      <c r="A15" s="7">
        <v>40758</v>
      </c>
      <c r="B15" s="11">
        <v>191020</v>
      </c>
      <c r="C15" s="8" t="s">
        <v>130</v>
      </c>
    </row>
    <row r="16" spans="1:3" ht="12.75">
      <c r="A16" s="7">
        <v>40946</v>
      </c>
      <c r="B16" s="11">
        <v>191980</v>
      </c>
      <c r="C16" s="8" t="s">
        <v>100</v>
      </c>
    </row>
    <row r="17" spans="1:3" ht="25.5">
      <c r="A17" s="7">
        <v>40967</v>
      </c>
      <c r="B17" s="11">
        <v>192450</v>
      </c>
      <c r="C17" s="8" t="s">
        <v>104</v>
      </c>
    </row>
    <row r="18" spans="1:3" ht="25.5">
      <c r="A18" s="7">
        <v>41024</v>
      </c>
      <c r="C18" s="18" t="s">
        <v>114</v>
      </c>
    </row>
    <row r="19" spans="1:3" ht="12.75">
      <c r="A19" s="7">
        <v>41069</v>
      </c>
      <c r="B19" s="11">
        <v>196987</v>
      </c>
      <c r="C19" s="8" t="s">
        <v>116</v>
      </c>
    </row>
    <row r="20" spans="1:3" ht="38.25">
      <c r="A20" s="7">
        <v>41122</v>
      </c>
      <c r="B20" s="11">
        <v>197022</v>
      </c>
      <c r="C20" s="8" t="s">
        <v>117</v>
      </c>
    </row>
    <row r="21" spans="1:3" ht="25.5">
      <c r="A21" s="7">
        <v>41122</v>
      </c>
      <c r="B21" s="11">
        <v>197037</v>
      </c>
      <c r="C21" s="8" t="s">
        <v>118</v>
      </c>
    </row>
    <row r="22" spans="1:3" ht="76.5">
      <c r="A22" s="7">
        <v>41147</v>
      </c>
      <c r="B22" s="11">
        <v>197039</v>
      </c>
      <c r="C22" s="8" t="s">
        <v>119</v>
      </c>
    </row>
    <row r="23" spans="1:3" ht="102">
      <c r="A23" s="7">
        <v>41157</v>
      </c>
      <c r="B23" s="11">
        <v>197041</v>
      </c>
      <c r="C23" s="8" t="s">
        <v>120</v>
      </c>
    </row>
    <row r="24" spans="1:3" ht="25.5">
      <c r="A24" s="7">
        <v>41164</v>
      </c>
      <c r="B24" s="11">
        <v>197045</v>
      </c>
      <c r="C24" s="8" t="s">
        <v>123</v>
      </c>
    </row>
    <row r="25" spans="1:3" ht="12.75">
      <c r="A25" s="7">
        <v>41190</v>
      </c>
      <c r="B25" s="11">
        <v>197056</v>
      </c>
      <c r="C25" s="8" t="s">
        <v>124</v>
      </c>
    </row>
    <row r="26" spans="1:3" ht="38.25">
      <c r="A26" s="7">
        <v>41192</v>
      </c>
      <c r="B26" s="11">
        <v>197062</v>
      </c>
      <c r="C26" s="8" t="s">
        <v>121</v>
      </c>
    </row>
    <row r="27" spans="1:3" ht="38.25">
      <c r="A27" s="7">
        <v>41280</v>
      </c>
      <c r="B27" s="11">
        <v>198126</v>
      </c>
      <c r="C27" s="18" t="s">
        <v>156</v>
      </c>
    </row>
    <row r="28" spans="1:3" ht="89.25">
      <c r="A28" s="7">
        <v>41354</v>
      </c>
      <c r="B28" s="11">
        <v>198126</v>
      </c>
      <c r="C28" s="18" t="s">
        <v>141</v>
      </c>
    </row>
    <row r="29" spans="1:3" ht="12.75">
      <c r="A29" s="7">
        <v>41354</v>
      </c>
      <c r="B29" s="11">
        <f>B28+50</f>
        <v>198176</v>
      </c>
      <c r="C29" s="18" t="s">
        <v>140</v>
      </c>
    </row>
    <row r="30" spans="1:3" ht="38.25">
      <c r="A30" s="7">
        <v>41358</v>
      </c>
      <c r="B30" s="11">
        <v>198568</v>
      </c>
      <c r="C30" s="18" t="s">
        <v>157</v>
      </c>
    </row>
    <row r="31" spans="1:3" ht="38.25">
      <c r="A31" s="7">
        <v>41426</v>
      </c>
      <c r="B31" s="11">
        <v>199315</v>
      </c>
      <c r="C31" s="18" t="s">
        <v>145</v>
      </c>
    </row>
    <row r="32" spans="1:3" ht="63.75">
      <c r="A32" s="7">
        <v>41427</v>
      </c>
      <c r="B32" s="11">
        <v>199331</v>
      </c>
      <c r="C32" s="18" t="s">
        <v>148</v>
      </c>
    </row>
    <row r="33" ht="12.75">
      <c r="C33" s="18" t="s">
        <v>152</v>
      </c>
    </row>
    <row r="34" ht="12.75">
      <c r="C34" s="18"/>
    </row>
    <row r="35" ht="12.75">
      <c r="C35" s="8" t="s">
        <v>143</v>
      </c>
    </row>
    <row r="36" ht="12.75">
      <c r="C36" s="8" t="s">
        <v>142</v>
      </c>
    </row>
    <row r="37" ht="12.75">
      <c r="C37" s="18" t="s">
        <v>144</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Wilde</dc:creator>
  <cp:keywords/>
  <dc:description/>
  <cp:lastModifiedBy>Andrew Wilde</cp:lastModifiedBy>
  <cp:lastPrinted>2006-12-29T18:29:11Z</cp:lastPrinted>
  <dcterms:created xsi:type="dcterms:W3CDTF">2002-08-21T17:48:47Z</dcterms:created>
  <dcterms:modified xsi:type="dcterms:W3CDTF">2013-09-01T19:50:50Z</dcterms:modified>
  <cp:category/>
  <cp:version/>
  <cp:contentType/>
  <cp:contentStatus/>
</cp:coreProperties>
</file>